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audia.muraro.CRMPR\Desktop\Pregão nº 012-2020 - Vigia, portaria e monitoramento eletrônico Sede\"/>
    </mc:Choice>
  </mc:AlternateContent>
  <bookViews>
    <workbookView xWindow="0" yWindow="0" windowWidth="24000" windowHeight="9735" tabRatio="951"/>
  </bookViews>
  <sheets>
    <sheet name="QUADRO RESUMO" sheetId="17" r:id="rId1"/>
    <sheet name="VIGIA DIURNO 12X36" sheetId="3" r:id="rId2"/>
    <sheet name="VIGIA NOTURNO 12X36" sheetId="10" r:id="rId3"/>
    <sheet name="VIGIA DIURNO 5X2" sheetId="14" r:id="rId4"/>
    <sheet name="PORTEIRO DIURNO 5X2" sheetId="18" r:id="rId5"/>
    <sheet name="UNIFORME VIGIA " sheetId="13" r:id="rId6"/>
    <sheet name="UNIFORME PORTEIRO 5X2 " sheetId="19" r:id="rId7"/>
    <sheet name="EQUIPAMENTOS VIGIA" sheetId="16" r:id="rId8"/>
    <sheet name="EQUIPAMENTOS PORTEIRO 5X2" sheetId="20" r:id="rId9"/>
  </sheets>
  <definedNames>
    <definedName name="_xlnm.Print_Area" localSheetId="4">'PORTEIRO DIURNO 5X2'!$A$1:$H$155</definedName>
    <definedName name="_xlnm.Print_Area" localSheetId="0">'QUADRO RESUMO'!$A$1:$J$22</definedName>
    <definedName name="_xlnm.Print_Area" localSheetId="1">'VIGIA DIURNO 12X36'!$A$1:$H$154</definedName>
    <definedName name="_xlnm.Print_Area" localSheetId="3">'VIGIA DIURNO 5X2'!$A$1:$H$154</definedName>
    <definedName name="_xlnm.Print_Area" localSheetId="2">'VIGIA NOTURNO 12X36'!$A$1:$H$155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7" l="1"/>
  <c r="I15" i="17" l="1"/>
  <c r="I22" i="17" l="1"/>
  <c r="G22" i="17"/>
  <c r="I19" i="17"/>
  <c r="I20" i="17" s="1"/>
  <c r="G14" i="17"/>
  <c r="I14" i="17" s="1"/>
  <c r="G13" i="17"/>
  <c r="I13" i="17" s="1"/>
  <c r="H8" i="17"/>
  <c r="I8" i="17" s="1"/>
  <c r="J8" i="17" s="1"/>
  <c r="H7" i="17"/>
  <c r="I7" i="17" s="1"/>
  <c r="J7" i="17" s="1"/>
  <c r="H6" i="17"/>
  <c r="I6" i="17" s="1"/>
  <c r="J6" i="17" s="1"/>
  <c r="H5" i="17"/>
  <c r="I5" i="17" s="1"/>
  <c r="J5" i="17" s="1"/>
  <c r="H4" i="17"/>
  <c r="I4" i="17" s="1"/>
  <c r="G20" i="17"/>
  <c r="G9" i="17"/>
  <c r="F9" i="17"/>
  <c r="J4" i="17" l="1"/>
  <c r="I9" i="17"/>
  <c r="H106" i="3" l="1"/>
  <c r="H106" i="14"/>
  <c r="H106" i="10"/>
  <c r="H105" i="10"/>
  <c r="H30" i="10"/>
  <c r="G136" i="10"/>
  <c r="G119" i="10"/>
  <c r="G120" i="10" s="1"/>
  <c r="G91" i="10"/>
  <c r="G90" i="10"/>
  <c r="G89" i="10"/>
  <c r="G88" i="10"/>
  <c r="G87" i="10"/>
  <c r="G93" i="10" s="1"/>
  <c r="G100" i="10" s="1"/>
  <c r="G86" i="10"/>
  <c r="G81" i="10"/>
  <c r="G80" i="10"/>
  <c r="G78" i="10"/>
  <c r="G82" i="10" s="1"/>
  <c r="H66" i="10"/>
  <c r="H60" i="10"/>
  <c r="H59" i="10"/>
  <c r="H61" i="10" s="1"/>
  <c r="H65" i="10" s="1"/>
  <c r="H57" i="10"/>
  <c r="H56" i="10"/>
  <c r="H58" i="10" s="1"/>
  <c r="H67" i="10" s="1"/>
  <c r="H73" i="10" s="1"/>
  <c r="G50" i="10"/>
  <c r="G44" i="10"/>
  <c r="G39" i="10"/>
  <c r="H26" i="10"/>
  <c r="E31" i="10" s="1"/>
  <c r="H31" i="10" s="1"/>
  <c r="D19" i="10"/>
  <c r="H97" i="3"/>
  <c r="H109" i="10" l="1"/>
  <c r="H128" i="10" s="1"/>
  <c r="H32" i="10"/>
  <c r="H33" i="10"/>
  <c r="H124" i="10" l="1"/>
  <c r="H97" i="10"/>
  <c r="H78" i="10" s="1"/>
  <c r="H38" i="10"/>
  <c r="H37" i="10"/>
  <c r="H39" i="10" s="1"/>
  <c r="H71" i="10" s="1"/>
  <c r="H49" i="10" l="1"/>
  <c r="H77" i="10"/>
  <c r="H82" i="10" s="1"/>
  <c r="H126" i="10" s="1"/>
  <c r="H45" i="10"/>
  <c r="H44" i="10"/>
  <c r="H80" i="10"/>
  <c r="H43" i="10"/>
  <c r="H46" i="10"/>
  <c r="H47" i="10"/>
  <c r="H48" i="10"/>
  <c r="H98" i="10"/>
  <c r="H101" i="10" s="1"/>
  <c r="G97" i="10"/>
  <c r="G98" i="10" s="1"/>
  <c r="H81" i="10"/>
  <c r="H79" i="10"/>
  <c r="H42" i="10"/>
  <c r="H50" i="10" l="1"/>
  <c r="H72" i="10" s="1"/>
  <c r="H74" i="10" s="1"/>
  <c r="H125" i="10" l="1"/>
  <c r="H86" i="10"/>
  <c r="H91" i="10"/>
  <c r="H92" i="10"/>
  <c r="H88" i="10"/>
  <c r="H87" i="10"/>
  <c r="H89" i="10"/>
  <c r="H90" i="10"/>
  <c r="H93" i="10" l="1"/>
  <c r="H100" i="10" s="1"/>
  <c r="H102" i="10" s="1"/>
  <c r="H127" i="10" s="1"/>
  <c r="H129" i="10" s="1"/>
  <c r="H112" i="10" l="1"/>
  <c r="H113" i="10" l="1"/>
  <c r="H131" i="10" s="1"/>
  <c r="D136" i="10" l="1"/>
  <c r="H118" i="10"/>
  <c r="H116" i="10"/>
  <c r="H115" i="10"/>
  <c r="H120" i="10" l="1"/>
  <c r="H130" i="10" s="1"/>
  <c r="H141" i="10"/>
  <c r="F136" i="10"/>
  <c r="H136" i="10" s="1"/>
  <c r="H137" i="10" s="1"/>
  <c r="H142" i="10" s="1"/>
  <c r="H145" i="10" l="1"/>
  <c r="H143" i="10"/>
  <c r="G136" i="3" l="1"/>
  <c r="G119" i="3"/>
  <c r="G120" i="3" s="1"/>
  <c r="H109" i="3"/>
  <c r="H128" i="3" s="1"/>
  <c r="H105" i="3"/>
  <c r="H98" i="3"/>
  <c r="H101" i="3" s="1"/>
  <c r="G91" i="3"/>
  <c r="G90" i="3"/>
  <c r="G89" i="3"/>
  <c r="G88" i="3"/>
  <c r="G87" i="3"/>
  <c r="G86" i="3"/>
  <c r="G93" i="3" s="1"/>
  <c r="G100" i="3" s="1"/>
  <c r="G81" i="3"/>
  <c r="G78" i="3"/>
  <c r="G82" i="3" s="1"/>
  <c r="H66" i="3"/>
  <c r="H59" i="3"/>
  <c r="H56" i="3"/>
  <c r="G44" i="3"/>
  <c r="G50" i="3" s="1"/>
  <c r="G80" i="3" s="1"/>
  <c r="G39" i="3"/>
  <c r="H26" i="3"/>
  <c r="D19" i="3"/>
  <c r="H105" i="14"/>
  <c r="H109" i="14" s="1"/>
  <c r="H128" i="14" s="1"/>
  <c r="H78" i="14"/>
  <c r="G136" i="14"/>
  <c r="G119" i="14"/>
  <c r="G120" i="14" s="1"/>
  <c r="H101" i="14"/>
  <c r="H98" i="14"/>
  <c r="G91" i="14"/>
  <c r="G90" i="14"/>
  <c r="G89" i="14"/>
  <c r="G88" i="14"/>
  <c r="G87" i="14"/>
  <c r="G86" i="14"/>
  <c r="G93" i="14" s="1"/>
  <c r="G100" i="14" s="1"/>
  <c r="G81" i="14"/>
  <c r="G78" i="14"/>
  <c r="H66" i="14"/>
  <c r="H59" i="14"/>
  <c r="H60" i="14" s="1"/>
  <c r="H61" i="14" s="1"/>
  <c r="H65" i="14" s="1"/>
  <c r="H56" i="14"/>
  <c r="G44" i="14"/>
  <c r="G50" i="14" s="1"/>
  <c r="G80" i="14" s="1"/>
  <c r="G82" i="14" s="1"/>
  <c r="G39" i="14"/>
  <c r="F31" i="14"/>
  <c r="H26" i="14"/>
  <c r="H57" i="14" s="1"/>
  <c r="H58" i="14" s="1"/>
  <c r="D19" i="14"/>
  <c r="F8" i="20"/>
  <c r="F6" i="20"/>
  <c r="F5" i="20"/>
  <c r="H105" i="18"/>
  <c r="F4" i="20"/>
  <c r="F15" i="16"/>
  <c r="F5" i="16"/>
  <c r="F7" i="16"/>
  <c r="F6" i="16"/>
  <c r="F4" i="16"/>
  <c r="H82" i="18"/>
  <c r="H81" i="18"/>
  <c r="H80" i="18"/>
  <c r="H79" i="18"/>
  <c r="H78" i="18"/>
  <c r="H77" i="18"/>
  <c r="G136" i="18"/>
  <c r="G119" i="18"/>
  <c r="G120" i="18" s="1"/>
  <c r="H98" i="18"/>
  <c r="H101" i="18" s="1"/>
  <c r="G91" i="18"/>
  <c r="G90" i="18"/>
  <c r="G89" i="18"/>
  <c r="G88" i="18"/>
  <c r="G87" i="18"/>
  <c r="G86" i="18"/>
  <c r="G93" i="18" s="1"/>
  <c r="G100" i="18" s="1"/>
  <c r="G81" i="18"/>
  <c r="G78" i="18"/>
  <c r="H66" i="18"/>
  <c r="H59" i="18"/>
  <c r="H60" i="18" s="1"/>
  <c r="H61" i="18" s="1"/>
  <c r="H65" i="18" s="1"/>
  <c r="H56" i="18"/>
  <c r="G50" i="18"/>
  <c r="G80" i="18" s="1"/>
  <c r="G82" i="18" s="1"/>
  <c r="G44" i="18"/>
  <c r="G39" i="18"/>
  <c r="F31" i="18"/>
  <c r="H26" i="18"/>
  <c r="E31" i="18" s="1"/>
  <c r="H31" i="18" s="1"/>
  <c r="H32" i="18" s="1"/>
  <c r="D19" i="18"/>
  <c r="H58" i="3" l="1"/>
  <c r="H61" i="3"/>
  <c r="H65" i="3" s="1"/>
  <c r="H57" i="3"/>
  <c r="E31" i="3"/>
  <c r="H31" i="3" s="1"/>
  <c r="H32" i="3" s="1"/>
  <c r="H60" i="3"/>
  <c r="H67" i="14"/>
  <c r="H73" i="14" s="1"/>
  <c r="E31" i="14"/>
  <c r="H31" i="14" s="1"/>
  <c r="H32" i="14" s="1"/>
  <c r="H58" i="18"/>
  <c r="H67" i="18" s="1"/>
  <c r="H73" i="18" s="1"/>
  <c r="H33" i="18"/>
  <c r="H57" i="18"/>
  <c r="H67" i="3" l="1"/>
  <c r="H73" i="3" s="1"/>
  <c r="H33" i="3"/>
  <c r="H33" i="14"/>
  <c r="H126" i="18"/>
  <c r="G97" i="18"/>
  <c r="G98" i="18" s="1"/>
  <c r="H38" i="18"/>
  <c r="H37" i="18"/>
  <c r="H39" i="18" s="1"/>
  <c r="H71" i="18" s="1"/>
  <c r="H124" i="18"/>
  <c r="H124" i="3" l="1"/>
  <c r="H79" i="3"/>
  <c r="H78" i="3"/>
  <c r="G97" i="3"/>
  <c r="G98" i="3" s="1"/>
  <c r="H77" i="3"/>
  <c r="H81" i="3"/>
  <c r="H80" i="3"/>
  <c r="H38" i="3"/>
  <c r="H37" i="3"/>
  <c r="H124" i="14"/>
  <c r="H79" i="14"/>
  <c r="H37" i="14"/>
  <c r="G97" i="14"/>
  <c r="G98" i="14" s="1"/>
  <c r="H77" i="14"/>
  <c r="H81" i="14"/>
  <c r="H38" i="14"/>
  <c r="H80" i="14"/>
  <c r="H47" i="18"/>
  <c r="H46" i="18"/>
  <c r="H45" i="18"/>
  <c r="H44" i="18"/>
  <c r="H49" i="18"/>
  <c r="H48" i="18"/>
  <c r="H43" i="18"/>
  <c r="H42" i="18"/>
  <c r="H50" i="18" s="1"/>
  <c r="H72" i="18" s="1"/>
  <c r="H74" i="18" s="1"/>
  <c r="H82" i="3" l="1"/>
  <c r="H126" i="3" s="1"/>
  <c r="H39" i="3"/>
  <c r="H39" i="14"/>
  <c r="H71" i="14" s="1"/>
  <c r="H82" i="14"/>
  <c r="H126" i="14" s="1"/>
  <c r="H47" i="14"/>
  <c r="H125" i="18"/>
  <c r="H87" i="18"/>
  <c r="H89" i="18"/>
  <c r="H91" i="18"/>
  <c r="H90" i="18"/>
  <c r="H88" i="18"/>
  <c r="H86" i="18"/>
  <c r="H92" i="18"/>
  <c r="H71" i="3" l="1"/>
  <c r="H49" i="3"/>
  <c r="H42" i="3"/>
  <c r="H44" i="3"/>
  <c r="H47" i="3"/>
  <c r="H46" i="3"/>
  <c r="H45" i="3"/>
  <c r="H43" i="3"/>
  <c r="H48" i="3"/>
  <c r="H43" i="14"/>
  <c r="H49" i="14"/>
  <c r="H42" i="14"/>
  <c r="H46" i="14"/>
  <c r="H44" i="14"/>
  <c r="H48" i="14"/>
  <c r="H45" i="14"/>
  <c r="H93" i="18"/>
  <c r="H100" i="18" s="1"/>
  <c r="H102" i="18" s="1"/>
  <c r="H127" i="18" s="1"/>
  <c r="H50" i="3" l="1"/>
  <c r="H72" i="3" s="1"/>
  <c r="H74" i="3" s="1"/>
  <c r="H50" i="14"/>
  <c r="H72" i="14" s="1"/>
  <c r="H74" i="14" s="1"/>
  <c r="H125" i="14" s="1"/>
  <c r="H125" i="3" l="1"/>
  <c r="H86" i="3"/>
  <c r="H87" i="3"/>
  <c r="H92" i="3"/>
  <c r="H91" i="3"/>
  <c r="H88" i="3"/>
  <c r="H89" i="3"/>
  <c r="H90" i="3"/>
  <c r="H92" i="14"/>
  <c r="H86" i="14"/>
  <c r="H90" i="14"/>
  <c r="H89" i="14"/>
  <c r="H87" i="14"/>
  <c r="H91" i="14"/>
  <c r="H88" i="14"/>
  <c r="H93" i="14"/>
  <c r="H100" i="14" s="1"/>
  <c r="H102" i="14" s="1"/>
  <c r="H127" i="14" s="1"/>
  <c r="H129" i="14" s="1"/>
  <c r="H93" i="3" l="1"/>
  <c r="H100" i="3" s="1"/>
  <c r="H102" i="3" s="1"/>
  <c r="H127" i="3" s="1"/>
  <c r="H129" i="3"/>
  <c r="H112" i="14"/>
  <c r="H112" i="3" l="1"/>
  <c r="H113" i="14"/>
  <c r="H131" i="14" s="1"/>
  <c r="H113" i="3" l="1"/>
  <c r="H131" i="3" s="1"/>
  <c r="D136" i="14"/>
  <c r="H118" i="14"/>
  <c r="H116" i="14"/>
  <c r="H120" i="14" s="1"/>
  <c r="H130" i="14" s="1"/>
  <c r="H115" i="14"/>
  <c r="D136" i="3" l="1"/>
  <c r="H118" i="3"/>
  <c r="H116" i="3"/>
  <c r="H115" i="3"/>
  <c r="H141" i="14"/>
  <c r="F136" i="14"/>
  <c r="H136" i="14" s="1"/>
  <c r="H137" i="14" s="1"/>
  <c r="H142" i="14" s="1"/>
  <c r="H120" i="3" l="1"/>
  <c r="H130" i="3" s="1"/>
  <c r="H141" i="3"/>
  <c r="F136" i="3"/>
  <c r="H136" i="3" s="1"/>
  <c r="H137" i="3" s="1"/>
  <c r="H142" i="3" s="1"/>
  <c r="H145" i="14"/>
  <c r="H143" i="14"/>
  <c r="H145" i="3" l="1"/>
  <c r="H143" i="3"/>
  <c r="F12" i="19" l="1"/>
  <c r="F11" i="19"/>
  <c r="F10" i="19"/>
  <c r="F9" i="19"/>
  <c r="F8" i="19"/>
  <c r="F7" i="19"/>
  <c r="F6" i="19"/>
  <c r="F5" i="19"/>
  <c r="F4" i="19"/>
  <c r="F13" i="19" l="1"/>
  <c r="F14" i="19" s="1"/>
  <c r="F7" i="20"/>
  <c r="H106" i="18" s="1"/>
  <c r="H109" i="18" s="1"/>
  <c r="H128" i="18" s="1"/>
  <c r="H129" i="18" s="1"/>
  <c r="H112" i="18" s="1"/>
  <c r="F18" i="16"/>
  <c r="F17" i="16"/>
  <c r="F16" i="16"/>
  <c r="F14" i="16"/>
  <c r="H113" i="18" l="1"/>
  <c r="H131" i="18" s="1"/>
  <c r="F19" i="16"/>
  <c r="F20" i="16" s="1"/>
  <c r="F8" i="16"/>
  <c r="F9" i="16" s="1"/>
  <c r="H116" i="18" l="1"/>
  <c r="H115" i="18"/>
  <c r="D136" i="18"/>
  <c r="H118" i="18"/>
  <c r="F5" i="13"/>
  <c r="F6" i="13"/>
  <c r="F7" i="13"/>
  <c r="F8" i="13"/>
  <c r="F9" i="13"/>
  <c r="F10" i="13"/>
  <c r="F11" i="13"/>
  <c r="F12" i="13"/>
  <c r="F4" i="13"/>
  <c r="H120" i="18" l="1"/>
  <c r="H130" i="18" s="1"/>
  <c r="H141" i="18"/>
  <c r="F136" i="18"/>
  <c r="H136" i="18" s="1"/>
  <c r="H137" i="18" s="1"/>
  <c r="H142" i="18" s="1"/>
  <c r="F13" i="13"/>
  <c r="F14" i="13" s="1"/>
  <c r="H145" i="18" l="1"/>
  <c r="H143" i="18"/>
</calcChain>
</file>

<file path=xl/comments1.xml><?xml version="1.0" encoding="utf-8"?>
<comments xmlns="http://schemas.openxmlformats.org/spreadsheetml/2006/main">
  <authors>
    <author/>
    <author>Usuário do Windows</author>
    <author>Antônio José Rodrigues de Campos Jr</author>
    <author>Antonio Campos jr</author>
  </authors>
  <commentList>
    <comment ref="A3" authorId="0" shapeId="0">
      <text>
        <r>
          <rPr>
            <sz val="10"/>
            <color rgb="FF000000"/>
            <rFont val="Arial"/>
            <family val="2"/>
            <charset val="1"/>
          </rPr>
          <t>ESSAS INFORMAÇÕES DEVEM SER REPASSADAS VIA EMAIL PELO SETOR DE LICITAÇÃO</t>
        </r>
      </text>
    </comment>
    <comment ref="E29" authorId="0" shapeId="0">
      <text>
        <r>
          <rPr>
            <sz val="10"/>
            <color rgb="FF000000"/>
            <rFont val="Arial"/>
            <family val="2"/>
            <charset val="1"/>
          </rPr>
          <t>Selecionar entre:
0%
10%
20%
40%
E o valor da Insalubridade será calculado sobre o valor da salário</t>
        </r>
      </text>
    </comment>
    <comment ref="F31" authorId="1" shapeId="0">
      <text>
        <r>
          <rPr>
            <b/>
            <sz val="10"/>
            <color indexed="81"/>
            <rFont val="Segoe UI"/>
            <family val="2"/>
          </rPr>
          <t>Usuário do Windows:</t>
        </r>
        <r>
          <rPr>
            <sz val="10"/>
            <color indexed="81"/>
            <rFont val="Segoe UI"/>
            <family val="2"/>
          </rPr>
          <t xml:space="preserve">
50 hr/sem - 44 hr/sema = 6 hr/sem * 4,35 med semanal = 26h10m média do mês</t>
        </r>
      </text>
    </comment>
    <comment ref="G44" authorId="2" shapeId="0">
      <text>
        <r>
          <rPr>
            <b/>
            <sz val="12"/>
            <color indexed="81"/>
            <rFont val="Arial"/>
            <family val="2"/>
          </rPr>
          <t>SAT: varia entre 1%,  2% ou 3%.</t>
        </r>
      </text>
    </comment>
    <comment ref="G56" authorId="2" shapeId="0">
      <text>
        <r>
          <rPr>
            <b/>
            <sz val="11"/>
            <color indexed="81"/>
            <rFont val="Segoe UI"/>
            <family val="2"/>
          </rPr>
          <t>Conferir CCT.</t>
        </r>
      </text>
    </comment>
    <comment ref="G59" authorId="3" shapeId="0">
      <text>
        <r>
          <rPr>
            <sz val="11"/>
            <color indexed="81"/>
            <rFont val="Segoe UI"/>
            <family val="2"/>
          </rPr>
          <t>NOTA : Desconto permitido de até 20%</t>
        </r>
        <r>
          <rPr>
            <sz val="9"/>
            <color indexed="81"/>
            <rFont val="Segoe UI"/>
            <family val="2"/>
          </rPr>
          <t xml:space="preserve">
</t>
        </r>
      </text>
    </comment>
    <comment ref="H93" authorId="2" shapeId="0">
      <text>
        <r>
          <rPr>
            <b/>
            <sz val="12"/>
            <color indexed="81"/>
            <rFont val="Arial"/>
            <family val="2"/>
          </rPr>
          <t xml:space="preserve">BASE DE CÁLCULO:
</t>
        </r>
        <r>
          <rPr>
            <sz val="12"/>
            <color indexed="81"/>
            <rFont val="Arial"/>
            <family val="2"/>
          </rPr>
          <t>Percentuais * (Mód 1 + Mód 2+ Mód 3)</t>
        </r>
      </text>
    </comment>
    <comment ref="H97" authorId="2" shapeId="0">
      <text>
        <r>
          <rPr>
            <b/>
            <sz val="12"/>
            <color indexed="81"/>
            <rFont val="Arial"/>
            <family val="2"/>
          </rPr>
          <t xml:space="preserve">COMPOSIÇÃO DO CÁLCULO:
</t>
        </r>
        <r>
          <rPr>
            <sz val="12"/>
            <color indexed="81"/>
            <rFont val="Arial"/>
            <family val="2"/>
          </rPr>
          <t>- Remuneração (Salário Base + Adicionais) ;
- / 220h ( TST pacificado) ;
- *1,5 (50% caráter indenizatório);
- *15,22 (dias trabalhados) para 1 hora;
- * 7,61 (50% dias trabalhados) para 30 minutos</t>
        </r>
      </text>
    </comment>
  </commentList>
</comments>
</file>

<file path=xl/comments2.xml><?xml version="1.0" encoding="utf-8"?>
<comments xmlns="http://schemas.openxmlformats.org/spreadsheetml/2006/main">
  <authors>
    <author/>
    <author>Usuário do Windows</author>
    <author>Antônio José Rodrigues de Campos Jr</author>
    <author>Antonio Campos jr</author>
  </authors>
  <commentList>
    <comment ref="A3" authorId="0" shapeId="0">
      <text>
        <r>
          <rPr>
            <sz val="10"/>
            <color rgb="FF000000"/>
            <rFont val="Arial"/>
            <family val="2"/>
            <charset val="1"/>
          </rPr>
          <t>ESSAS INFORMAÇÕES DEVEM SER REPASSADAS VIA EMAIL PELO SETOR DE LICITAÇÃO</t>
        </r>
      </text>
    </comment>
    <comment ref="E29" authorId="0" shapeId="0">
      <text>
        <r>
          <rPr>
            <sz val="10"/>
            <color rgb="FF000000"/>
            <rFont val="Arial"/>
            <family val="2"/>
            <charset val="1"/>
          </rPr>
          <t>Selecionar entre:
0%
10%
20%
40%
E o valor da Insalubridade será calculado sobre o valor da salário</t>
        </r>
      </text>
    </comment>
    <comment ref="F31" authorId="1" shapeId="0">
      <text>
        <r>
          <rPr>
            <b/>
            <sz val="10"/>
            <color indexed="81"/>
            <rFont val="Segoe UI"/>
            <family val="2"/>
          </rPr>
          <t>Usuário do Windows:</t>
        </r>
        <r>
          <rPr>
            <sz val="10"/>
            <color indexed="81"/>
            <rFont val="Segoe UI"/>
            <family val="2"/>
          </rPr>
          <t xml:space="preserve">
50 hr/sem - 44 hr/sema = 6 hr/sem * 4,35 med semanal = 26h10m média do mês</t>
        </r>
      </text>
    </comment>
    <comment ref="G44" authorId="2" shapeId="0">
      <text>
        <r>
          <rPr>
            <b/>
            <sz val="12"/>
            <color indexed="81"/>
            <rFont val="Arial"/>
            <family val="2"/>
          </rPr>
          <t>SAT: varia entre 1%,  2% ou 3%.</t>
        </r>
      </text>
    </comment>
    <comment ref="G56" authorId="2" shapeId="0">
      <text>
        <r>
          <rPr>
            <b/>
            <sz val="11"/>
            <color indexed="81"/>
            <rFont val="Segoe UI"/>
            <family val="2"/>
          </rPr>
          <t>Conferir CCT.</t>
        </r>
      </text>
    </comment>
    <comment ref="G59" authorId="3" shapeId="0">
      <text>
        <r>
          <rPr>
            <sz val="11"/>
            <color indexed="81"/>
            <rFont val="Segoe UI"/>
            <family val="2"/>
          </rPr>
          <t>NOTA : Desconto permitido de até 20%</t>
        </r>
        <r>
          <rPr>
            <sz val="9"/>
            <color indexed="81"/>
            <rFont val="Segoe UI"/>
            <family val="2"/>
          </rPr>
          <t xml:space="preserve">
</t>
        </r>
      </text>
    </comment>
    <comment ref="H93" authorId="2" shapeId="0">
      <text>
        <r>
          <rPr>
            <b/>
            <sz val="12"/>
            <color indexed="81"/>
            <rFont val="Arial"/>
            <family val="2"/>
          </rPr>
          <t xml:space="preserve">BASE DE CÁLCULO:
</t>
        </r>
        <r>
          <rPr>
            <sz val="12"/>
            <color indexed="81"/>
            <rFont val="Arial"/>
            <family val="2"/>
          </rPr>
          <t>Percentuais * (Mód 1 + Mód 2+ Mód 3)</t>
        </r>
      </text>
    </comment>
    <comment ref="H97" authorId="2" shapeId="0">
      <text>
        <r>
          <rPr>
            <b/>
            <sz val="12"/>
            <color indexed="81"/>
            <rFont val="Arial"/>
            <family val="2"/>
          </rPr>
          <t xml:space="preserve">COMPOSIÇÃO DO CÁLCULO:
</t>
        </r>
        <r>
          <rPr>
            <sz val="12"/>
            <color indexed="81"/>
            <rFont val="Arial"/>
            <family val="2"/>
          </rPr>
          <t>- Remuneração (Salário Base + Adicionais) ;
- / 220h ( TST pacificado) ;
- *1,5 (50% caráter indenizatório);
- *15,22 (dias trabalhados) para 1 hora;
- * 7,61 (50% dias trabalhados) para 30 minutos</t>
        </r>
      </text>
    </comment>
  </commentList>
</comments>
</file>

<file path=xl/comments3.xml><?xml version="1.0" encoding="utf-8"?>
<comments xmlns="http://schemas.openxmlformats.org/spreadsheetml/2006/main">
  <authors>
    <author/>
    <author>Usuário do Windows</author>
    <author>Antônio José Rodrigues de Campos Jr</author>
    <author>Antonio Campos jr</author>
  </authors>
  <commentList>
    <comment ref="A3" authorId="0" shapeId="0">
      <text>
        <r>
          <rPr>
            <sz val="10"/>
            <color rgb="FF000000"/>
            <rFont val="Arial"/>
            <family val="2"/>
            <charset val="1"/>
          </rPr>
          <t>ESSAS INFORMAÇÕES DEVEM SER REPASSADAS VIA EMAIL PELO SETOR DE LICITAÇÃO</t>
        </r>
      </text>
    </comment>
    <comment ref="E29" authorId="0" shapeId="0">
      <text>
        <r>
          <rPr>
            <sz val="10"/>
            <color rgb="FF000000"/>
            <rFont val="Arial"/>
            <family val="2"/>
            <charset val="1"/>
          </rPr>
          <t>Selecionar entre:
0%
10%
20%
40%
E o valor da Insalubridade será calculado sobre o valor da salário</t>
        </r>
      </text>
    </comment>
    <comment ref="F31" authorId="1" shapeId="0">
      <text>
        <r>
          <rPr>
            <b/>
            <sz val="10"/>
            <color indexed="81"/>
            <rFont val="Segoe UI"/>
            <family val="2"/>
          </rPr>
          <t>Usuário do Windows:</t>
        </r>
        <r>
          <rPr>
            <sz val="10"/>
            <color indexed="81"/>
            <rFont val="Segoe UI"/>
            <family val="2"/>
          </rPr>
          <t xml:space="preserve">
50 hr/sem - 44 hr/sema = 6 hr/sem * 4,35 med semanal = 26h10m média do mês</t>
        </r>
      </text>
    </comment>
    <comment ref="G44" authorId="2" shapeId="0">
      <text>
        <r>
          <rPr>
            <b/>
            <sz val="12"/>
            <color indexed="81"/>
            <rFont val="Arial"/>
            <family val="2"/>
          </rPr>
          <t>SAT: varia entre 1%,  2% ou 3%.</t>
        </r>
      </text>
    </comment>
    <comment ref="G56" authorId="2" shapeId="0">
      <text>
        <r>
          <rPr>
            <b/>
            <sz val="11"/>
            <color indexed="81"/>
            <rFont val="Segoe UI"/>
            <family val="2"/>
          </rPr>
          <t>Conferir CCT.</t>
        </r>
      </text>
    </comment>
    <comment ref="G59" authorId="3" shapeId="0">
      <text>
        <r>
          <rPr>
            <sz val="11"/>
            <color indexed="81"/>
            <rFont val="Segoe UI"/>
            <family val="2"/>
          </rPr>
          <t>NOTA : Desconto permitido de até 20%</t>
        </r>
        <r>
          <rPr>
            <sz val="9"/>
            <color indexed="81"/>
            <rFont val="Segoe UI"/>
            <family val="2"/>
          </rPr>
          <t xml:space="preserve">
</t>
        </r>
      </text>
    </comment>
    <comment ref="H93" authorId="2" shapeId="0">
      <text>
        <r>
          <rPr>
            <b/>
            <sz val="12"/>
            <color indexed="81"/>
            <rFont val="Arial"/>
            <family val="2"/>
          </rPr>
          <t xml:space="preserve">BASE DE CÁLCULO:
</t>
        </r>
        <r>
          <rPr>
            <sz val="12"/>
            <color indexed="81"/>
            <rFont val="Arial"/>
            <family val="2"/>
          </rPr>
          <t>Percentuais * (Mód 1 + Mód 2+ Mód 3)</t>
        </r>
      </text>
    </comment>
    <comment ref="H97" authorId="2" shapeId="0">
      <text>
        <r>
          <rPr>
            <b/>
            <sz val="12"/>
            <color indexed="81"/>
            <rFont val="Arial"/>
            <family val="2"/>
          </rPr>
          <t xml:space="preserve">COMPOSIÇÃO DO CÁLCULO:
</t>
        </r>
        <r>
          <rPr>
            <sz val="12"/>
            <color indexed="81"/>
            <rFont val="Arial"/>
            <family val="2"/>
          </rPr>
          <t>- Remuneração (Salário Base + Adicionais) ;
- / 220h ( TST pacificado) ;
- *1,5 (50% caráter indenizatório);
- *15,22 (dias trabalhados);</t>
        </r>
      </text>
    </comment>
  </commentList>
</comments>
</file>

<file path=xl/comments4.xml><?xml version="1.0" encoding="utf-8"?>
<comments xmlns="http://schemas.openxmlformats.org/spreadsheetml/2006/main">
  <authors>
    <author/>
    <author>Usuário do Windows</author>
    <author>Antônio José Rodrigues de Campos Jr</author>
    <author>Antonio Campos jr</author>
  </authors>
  <commentList>
    <comment ref="A3" authorId="0" shapeId="0">
      <text>
        <r>
          <rPr>
            <sz val="10"/>
            <color rgb="FF000000"/>
            <rFont val="Arial"/>
            <family val="2"/>
            <charset val="1"/>
          </rPr>
          <t>ESSAS INFORMAÇÕES DEVEM SER REPASSADAS VIA EMAIL PELO SETOR DE LICITAÇÃO</t>
        </r>
      </text>
    </comment>
    <comment ref="E29" authorId="0" shapeId="0">
      <text>
        <r>
          <rPr>
            <sz val="10"/>
            <color rgb="FF000000"/>
            <rFont val="Arial"/>
            <family val="2"/>
            <charset val="1"/>
          </rPr>
          <t>Selecionar entre:
0%
10%
20%
40%
E o valor da Insalubridade será calculado sobre o valor da salário</t>
        </r>
      </text>
    </comment>
    <comment ref="F31" authorId="1" shapeId="0">
      <text>
        <r>
          <rPr>
            <b/>
            <sz val="10"/>
            <color indexed="81"/>
            <rFont val="Segoe UI"/>
            <family val="2"/>
          </rPr>
          <t>Usuário do Windows:</t>
        </r>
        <r>
          <rPr>
            <sz val="10"/>
            <color indexed="81"/>
            <rFont val="Segoe UI"/>
            <family val="2"/>
          </rPr>
          <t xml:space="preserve">
50 hr/sem - 44 hr/sema = 6 hr/sem * 4,35 med semanal = 26h10m média do mês</t>
        </r>
      </text>
    </comment>
    <comment ref="G44" authorId="2" shapeId="0">
      <text>
        <r>
          <rPr>
            <b/>
            <sz val="12"/>
            <color indexed="81"/>
            <rFont val="Arial"/>
            <family val="2"/>
          </rPr>
          <t>SAT: varia entre 1%,  2% ou 3%.</t>
        </r>
      </text>
    </comment>
    <comment ref="G56" authorId="2" shapeId="0">
      <text>
        <r>
          <rPr>
            <b/>
            <sz val="11"/>
            <color indexed="81"/>
            <rFont val="Segoe UI"/>
            <family val="2"/>
          </rPr>
          <t>Conferir CCT.</t>
        </r>
      </text>
    </comment>
    <comment ref="G59" authorId="3" shapeId="0">
      <text>
        <r>
          <rPr>
            <sz val="11"/>
            <color indexed="81"/>
            <rFont val="Segoe UI"/>
            <family val="2"/>
          </rPr>
          <t>NOTA : Desconto permitido de até 20%</t>
        </r>
        <r>
          <rPr>
            <sz val="9"/>
            <color indexed="81"/>
            <rFont val="Segoe UI"/>
            <family val="2"/>
          </rPr>
          <t xml:space="preserve">
</t>
        </r>
      </text>
    </comment>
    <comment ref="H93" authorId="2" shapeId="0">
      <text>
        <r>
          <rPr>
            <b/>
            <sz val="12"/>
            <color indexed="81"/>
            <rFont val="Arial"/>
            <family val="2"/>
          </rPr>
          <t xml:space="preserve">BASE DE CÁLCULO:
</t>
        </r>
        <r>
          <rPr>
            <sz val="12"/>
            <color indexed="81"/>
            <rFont val="Arial"/>
            <family val="2"/>
          </rPr>
          <t>Percentuais * (Mód 1 + Mód 2+ Mód 3)</t>
        </r>
      </text>
    </comment>
    <comment ref="H97" authorId="2" shapeId="0">
      <text>
        <r>
          <rPr>
            <b/>
            <sz val="12"/>
            <color indexed="81"/>
            <rFont val="Arial"/>
            <family val="2"/>
          </rPr>
          <t xml:space="preserve">COMPOSIÇÃO DO CÁLCULO:
</t>
        </r>
        <r>
          <rPr>
            <sz val="12"/>
            <color indexed="81"/>
            <rFont val="Arial"/>
            <family val="2"/>
          </rPr>
          <t>- Remuneração (Salário Base + Adicionais) ;
- / 220h ( TST pacificado) ;
- *1,5 (50% caráter indenizatório);
- *15,22 (dias trabalhados);</t>
        </r>
      </text>
    </comment>
  </commentList>
</comments>
</file>

<file path=xl/sharedStrings.xml><?xml version="1.0" encoding="utf-8"?>
<sst xmlns="http://schemas.openxmlformats.org/spreadsheetml/2006/main" count="1215" uniqueCount="269">
  <si>
    <t>A</t>
  </si>
  <si>
    <t>B</t>
  </si>
  <si>
    <t>C</t>
  </si>
  <si>
    <t>D</t>
  </si>
  <si>
    <t>E</t>
  </si>
  <si>
    <t>F</t>
  </si>
  <si>
    <t>Outros (especificar)</t>
  </si>
  <si>
    <t>2.1</t>
  </si>
  <si>
    <t>2.2</t>
  </si>
  <si>
    <t>GPS, FGTS e outras contribuições</t>
  </si>
  <si>
    <t>INSS</t>
  </si>
  <si>
    <t>SEBRAE</t>
  </si>
  <si>
    <t>G</t>
  </si>
  <si>
    <t>INCRA</t>
  </si>
  <si>
    <t>FGTS</t>
  </si>
  <si>
    <t>2.3</t>
  </si>
  <si>
    <t>TOTAL</t>
  </si>
  <si>
    <t>4.1</t>
  </si>
  <si>
    <t>4.2</t>
  </si>
  <si>
    <t>Custos Indiretos</t>
  </si>
  <si>
    <t>Tributos</t>
  </si>
  <si>
    <t>Módulo 5 - Insumos Diversos</t>
  </si>
  <si>
    <t>Percentual</t>
  </si>
  <si>
    <t>Descrição</t>
  </si>
  <si>
    <t>Unidade</t>
  </si>
  <si>
    <t xml:space="preserve">PLANILHA DA ADMINISTRAÇÃO     </t>
  </si>
  <si>
    <t>ANEXO VII D  PLANILHA DE CUSTOS E FORMAÇÃO DE PREÇOS IN 05/2017 - IN 07/2018 - SEGES/MPDG</t>
  </si>
  <si>
    <t>Dados do Processo/ licitação</t>
  </si>
  <si>
    <t>Número do Processo</t>
  </si>
  <si>
    <t>Licitação Número- (Pregão eletrônico)</t>
  </si>
  <si>
    <t>data e hora da realização do certame</t>
  </si>
  <si>
    <t>Descriminação dos serviços</t>
  </si>
  <si>
    <t>Data de apresentação da proposta</t>
  </si>
  <si>
    <t>Município/UF</t>
  </si>
  <si>
    <t>Ano Acordo, Conv. ou Sent. Normat. Dis. Coletivo</t>
  </si>
  <si>
    <r>
      <rPr>
        <sz val="12"/>
        <rFont val="Arial"/>
        <family val="2"/>
        <charset val="1"/>
      </rPr>
      <t>N</t>
    </r>
    <r>
      <rPr>
        <strike/>
        <sz val="12"/>
        <rFont val="Arial"/>
        <family val="2"/>
        <charset val="1"/>
      </rPr>
      <t>º</t>
    </r>
    <r>
      <rPr>
        <sz val="12"/>
        <rFont val="Arial"/>
        <family val="2"/>
        <charset val="1"/>
      </rPr>
      <t>de meses de execução contratual</t>
    </r>
  </si>
  <si>
    <t>Identificação dos serviços</t>
  </si>
  <si>
    <t>Tipo de Serviço</t>
  </si>
  <si>
    <t>Unidade de Medida</t>
  </si>
  <si>
    <t>Quantidade a Contratar</t>
  </si>
  <si>
    <t>Posto</t>
  </si>
  <si>
    <t>Mão-de-obra vinculada à execução contratual </t>
  </si>
  <si>
    <t>Dados comp. p/ composição dos custos referente à mão-de-obra</t>
  </si>
  <si>
    <t>Classificação Brasileira de Ocupações (CBO)</t>
  </si>
  <si>
    <t>Salario Normativo da Categoria Profissional</t>
  </si>
  <si>
    <t>Categ. Prof. ( vinculada à execução contratual )/n° CCT</t>
  </si>
  <si>
    <t>Data-base da categ.( dia/mês/ano )</t>
  </si>
  <si>
    <t>01/02/2020</t>
  </si>
  <si>
    <r>
      <t>Módulo 1- Composição da Remuneração (</t>
    </r>
    <r>
      <rPr>
        <b/>
        <sz val="12"/>
        <color theme="0"/>
        <rFont val="Arial"/>
        <family val="2"/>
      </rPr>
      <t>Redação dada pela IN 07/2018</t>
    </r>
    <r>
      <rPr>
        <b/>
        <sz val="18"/>
        <color theme="0"/>
        <rFont val="Arial"/>
        <family val="2"/>
      </rPr>
      <t>)</t>
    </r>
  </si>
  <si>
    <t>Salário-Base</t>
  </si>
  <si>
    <t>Adicional de insalubridade</t>
  </si>
  <si>
    <t>Grau</t>
  </si>
  <si>
    <t>Salário Mínimo</t>
  </si>
  <si>
    <t>Sem Insalubridade</t>
  </si>
  <si>
    <t>Adicional noturno</t>
  </si>
  <si>
    <t>Nota 1: O Módulo 1 refere-se ao valor mensal devido ao empregado pela prestação do serviço no período de 12 meses.</t>
  </si>
  <si>
    <t>Módulo 2 -Encargos e  Benefícios Anuais, Mensais e Diários</t>
  </si>
  <si>
    <t>Submódulo 2.1 – 13° ( décimo terceiro) Salário, Férias e Adicional de Férias</t>
  </si>
  <si>
    <t>13º salário (lei 4090/62)</t>
  </si>
  <si>
    <t>Férias e Terço Constitucional de Férias .</t>
  </si>
  <si>
    <t>Submódulo 2.2 – Encargos Previdenciários (GPS), Fundo de Garantia por Tempo de Serviço (FGTS) e outras contribuições</t>
  </si>
  <si>
    <t>SALÁRIO EDUCAÇÃO</t>
  </si>
  <si>
    <t>SAT</t>
  </si>
  <si>
    <t>SESC ou SESI</t>
  </si>
  <si>
    <t>SENAI - SENAC</t>
  </si>
  <si>
    <t>Nota 1: Os percentuais dos encargos previdenciários, do FGTS e demais contribuições são aqueles estabelecidos pela legislação vigente.</t>
  </si>
  <si>
    <t>Nota 2: O SAT a depender do grau de risco do serviço irá variar entre 1%, para risco leve, de 2%, para risco médio, e de 3% de risco grave.</t>
  </si>
  <si>
    <t>Nota 3: Esses percentuais incidem sobre o Módulo 1, o Submódulo 2.1. (Redação dada pela Instrução Normativa nº 7, de 2018)</t>
  </si>
  <si>
    <t>Submódulo 2.3-  Benefícios Mensais e Diários.</t>
  </si>
  <si>
    <t>Dias</t>
  </si>
  <si>
    <t>Qt. diária</t>
  </si>
  <si>
    <t>Valor</t>
  </si>
  <si>
    <t>Desconto</t>
  </si>
  <si>
    <t>Transporte</t>
  </si>
  <si>
    <t>(Desconto)</t>
  </si>
  <si>
    <t>Total</t>
  </si>
  <si>
    <t>Nota 1: O valor informado deverá ser o custo real do benefício (descontado o valor eventualmente pago pelo empregado).</t>
  </si>
  <si>
    <t>Nota 2: Observar a previsão dos benefícios contidos em Acordos, Convenções e Dissídios Coletivos de Trabalho e atentar-se ao disposto no art. 6º desta Instrução Normativa.</t>
  </si>
  <si>
    <t>Quadro -  Resumo Módulo 2 -Encargos e  Benefícios Anuais, Mensais e Diários</t>
  </si>
  <si>
    <t>13° Salário, Férias e Adicional de Férias</t>
  </si>
  <si>
    <t>Beneficio Mensais e Diários.</t>
  </si>
  <si>
    <r>
      <t>Módulo 3 - Provisão para Rescisão (</t>
    </r>
    <r>
      <rPr>
        <b/>
        <sz val="12"/>
        <color theme="0"/>
        <rFont val="Arial"/>
        <family val="2"/>
      </rPr>
      <t>Redação dada pela IN 07/2018</t>
    </r>
    <r>
      <rPr>
        <b/>
        <sz val="18"/>
        <color theme="0"/>
        <rFont val="Arial"/>
        <family val="2"/>
      </rPr>
      <t>)</t>
    </r>
  </si>
  <si>
    <t>Aviso prévio Indenizado</t>
  </si>
  <si>
    <t>Incidência do FGTS sobre aviso prévio indenizado</t>
  </si>
  <si>
    <t>ANEXO XII - IN SEGES MO 5/2017 e Orientação</t>
  </si>
  <si>
    <t>Aviso Previo Trabalhado</t>
  </si>
  <si>
    <t>Incidência de GPS, FGTS e outras contribuições sobre o Aviso Prévio Trabalhado</t>
  </si>
  <si>
    <t>Módulo 4-  Custo de Reposição do Profissional Ausente</t>
  </si>
  <si>
    <t>Submódulo 4.1  – Substituto nas Ausências Legais (Redação dada pela Instrução Normativa nº 7, de 2018)</t>
  </si>
  <si>
    <t>Substituto cobertura Ausências Legais</t>
  </si>
  <si>
    <t>Substituto cobertura Licença paternidade</t>
  </si>
  <si>
    <t>Substituto cobertura Ausência por acidente de trabalho</t>
  </si>
  <si>
    <t>Substituto cobertura Afastamento Maternidade</t>
  </si>
  <si>
    <t>Submódulo 4.2   – Intrajornada</t>
  </si>
  <si>
    <t>Substituto na cobertura de Intervalo para repouso ou alimentação.</t>
  </si>
  <si>
    <r>
      <t>Quadro -  Resumo Módulo 4 - Custo de Reposição do Profissional Ausente (</t>
    </r>
    <r>
      <rPr>
        <b/>
        <sz val="12"/>
        <color theme="0"/>
        <rFont val="Arial"/>
        <family val="2"/>
      </rPr>
      <t>Redação dada pela Instrução Normativa nº 7, de 2018</t>
    </r>
    <r>
      <rPr>
        <b/>
        <sz val="14"/>
        <color theme="0"/>
        <rFont val="Arial"/>
        <family val="2"/>
      </rPr>
      <t>)</t>
    </r>
  </si>
  <si>
    <t>Substituto nas Ausências Legais</t>
  </si>
  <si>
    <t>Substituto na Intrajornada</t>
  </si>
  <si>
    <t>Materiais / Acessórios</t>
  </si>
  <si>
    <t>Nota 1: Valores mensais por empregado</t>
  </si>
  <si>
    <t>6 - Custos Indiretos, Tributários e Lucro (CITL)</t>
  </si>
  <si>
    <t>Lucro</t>
  </si>
  <si>
    <t>C.1</t>
  </si>
  <si>
    <t>federais</t>
  </si>
  <si>
    <t>PIS</t>
  </si>
  <si>
    <t>C.2</t>
  </si>
  <si>
    <t>COFINS</t>
  </si>
  <si>
    <t>C.3</t>
  </si>
  <si>
    <t>C.4</t>
  </si>
  <si>
    <t>municipais</t>
  </si>
  <si>
    <t>ISS</t>
  </si>
  <si>
    <t>C.5</t>
  </si>
  <si>
    <t>Tributos total</t>
  </si>
  <si>
    <t>TOTAL CITL</t>
  </si>
  <si>
    <t>Nota 1: Custos Indiretos, Tributos e Lucro por empregado.</t>
  </si>
  <si>
    <t>Nota 2: O valor referente a tributos é obtido aplicando-se o percentual sobre o valor do faturamento.</t>
  </si>
  <si>
    <t>QUADRO RESUMO DO CUSTO POR EMPREGADO</t>
  </si>
  <si>
    <t>Módulo 1 - Composição da Remuneração</t>
  </si>
  <si>
    <t>Módulo 2 - Encargos e Beneficio Anuais, Mensais e Diários</t>
  </si>
  <si>
    <t>Módulo 3 - Previsão para rescisão</t>
  </si>
  <si>
    <t>Módulo 4 - Custo de Reposição do Profissional Ausente</t>
  </si>
  <si>
    <t>sub total (A+B+C+D+E)</t>
  </si>
  <si>
    <t>Módulo 6 - Custos indiretos, Tributos e Lucros</t>
  </si>
  <si>
    <t>Valor Total por Empregado.</t>
  </si>
  <si>
    <t>Quadro resumo - VALOR MENSAL DOS SERVIÇOS</t>
  </si>
  <si>
    <t>Valor proposto por empregados por posto</t>
  </si>
  <si>
    <t>Quant.   Empregado/ posto</t>
  </si>
  <si>
    <t>Valor posto</t>
  </si>
  <si>
    <t>Quant. postos</t>
  </si>
  <si>
    <t>Valor total do serviço</t>
  </si>
  <si>
    <t>(A)</t>
  </si>
  <si>
    <t>(B)</t>
  </si>
  <si>
    <t>( C )</t>
  </si>
  <si>
    <t>(D) = (B  X C)</t>
  </si>
  <si>
    <t>(E)</t>
  </si>
  <si>
    <t>( F ) = (D X E)</t>
  </si>
  <si>
    <t>VALOR MENSAL DOS SERVIÇOS</t>
  </si>
  <si>
    <t>Quadro - demonstrativo - VALOR GLOBAL DA PROPOSTA</t>
  </si>
  <si>
    <t>VALOR (R$)</t>
  </si>
  <si>
    <t>Valor proposto por unidade de medida</t>
  </si>
  <si>
    <t>Valor mensal do serviço</t>
  </si>
  <si>
    <t>Valor global da proposta (valor mensal x n.º de meses do contrato)</t>
  </si>
  <si>
    <t>Nota : Informar o valor da unidade de medida por tipo de serviço.</t>
  </si>
  <si>
    <t>*</t>
  </si>
  <si>
    <t xml:space="preserve">Preencher os dados em vermelho </t>
  </si>
  <si>
    <t>Alterar nome da aba</t>
  </si>
  <si>
    <t>Substituto cobertura Ausências por Doença</t>
  </si>
  <si>
    <t>xxxxxxxx</t>
  </si>
  <si>
    <t>xxxxxxxxxxxxxxxxxxxxx</t>
  </si>
  <si>
    <t>Substituto cobertura das Férias</t>
  </si>
  <si>
    <t>Periodicid.
(Meses)</t>
  </si>
  <si>
    <t>Item</t>
  </si>
  <si>
    <t>Peça</t>
  </si>
  <si>
    <t>Jaqueta</t>
  </si>
  <si>
    <t>Boné</t>
  </si>
  <si>
    <t>Valor unitário</t>
  </si>
  <si>
    <t>01</t>
  </si>
  <si>
    <t>02</t>
  </si>
  <si>
    <t>03</t>
  </si>
  <si>
    <t>04</t>
  </si>
  <si>
    <t>05</t>
  </si>
  <si>
    <t>06</t>
  </si>
  <si>
    <t>07</t>
  </si>
  <si>
    <t>08</t>
  </si>
  <si>
    <t>09</t>
  </si>
  <si>
    <t>Calça</t>
  </si>
  <si>
    <t>Camisa manga curta</t>
  </si>
  <si>
    <t>Camisa manga comprida</t>
  </si>
  <si>
    <t>Cinto</t>
  </si>
  <si>
    <t>Crachá</t>
  </si>
  <si>
    <t xml:space="preserve">Valor total </t>
  </si>
  <si>
    <t>Meias (par)</t>
  </si>
  <si>
    <t>Coturno ou botina (par)</t>
  </si>
  <si>
    <t>Valor total</t>
  </si>
  <si>
    <t>Lanterna recarregável em led com carregador e bateria.</t>
  </si>
  <si>
    <t>Rádio HT Digital DTR620 ou similar, autorizado pela ANATEL para comunicação/transmissão, com carregador a bateria.</t>
  </si>
  <si>
    <t>Capa de chuva.</t>
  </si>
  <si>
    <t>Informação</t>
  </si>
  <si>
    <t>Quantidade posto</t>
  </si>
  <si>
    <t>Compartilhado entre os funcionários.</t>
  </si>
  <si>
    <t>Um para cada funcionário.</t>
  </si>
  <si>
    <t>Livro de ocorrências.</t>
  </si>
  <si>
    <t>Uso para um funcionário.</t>
  </si>
  <si>
    <t>Valor total anual posto</t>
  </si>
  <si>
    <t>Valor total mensal posto</t>
  </si>
  <si>
    <t>Local</t>
  </si>
  <si>
    <t>Serviço</t>
  </si>
  <si>
    <t>Turno</t>
  </si>
  <si>
    <t>Horário</t>
  </si>
  <si>
    <t>Jornada</t>
  </si>
  <si>
    <t>Valor mensal total (R$)</t>
  </si>
  <si>
    <t>Valor anual (R$)</t>
  </si>
  <si>
    <t>Estacionamento (piso S2, diurno, horário comercial) e portaria externa (diurno e noturno, horário não comercial)</t>
  </si>
  <si>
    <t>12 horas diurnas: 07h30-19h30</t>
  </si>
  <si>
    <t>12x36</t>
  </si>
  <si>
    <t>Diurno</t>
  </si>
  <si>
    <t>5x2</t>
  </si>
  <si>
    <t>TOTAL (Postos Fixos) (R$)</t>
  </si>
  <si>
    <t>Portaria</t>
  </si>
  <si>
    <t>5174-10</t>
  </si>
  <si>
    <t>Adicional de Risco</t>
  </si>
  <si>
    <t>UNIFORMES PORTEIRO FEMININO/MASCULINO - Custo por posto</t>
  </si>
  <si>
    <t>Quantidade por porteiro</t>
  </si>
  <si>
    <t>Terno</t>
  </si>
  <si>
    <t>Sapato (par)</t>
  </si>
  <si>
    <t>Valor total anual por posto</t>
  </si>
  <si>
    <t>Valor total mensal por posto</t>
  </si>
  <si>
    <t>EQUIPAMENTOS E MATERIAL DE APOIO PARA POSTO PORTEIRO 5X2  - Custo por posto</t>
  </si>
  <si>
    <t>EQUIPAMENTOS E MATERIAL DE APOIO PARA O POSTO VIGIA 12X36  - Custo posto (levando em consideração os 04 funcionários)</t>
  </si>
  <si>
    <t>EQUIPAMENTOS E MATERIAL DE APOIO PARA O POSTO VIGIA 5X2  - Custo posto</t>
  </si>
  <si>
    <t>.</t>
  </si>
  <si>
    <t>UNIFORMES VIGIA FEMININO/MASCULINO - Custo por vigia</t>
  </si>
  <si>
    <t>Quantidade por vigia</t>
  </si>
  <si>
    <t>Valor total anual por vigia</t>
  </si>
  <si>
    <t>Valor total mensal por vigia</t>
  </si>
  <si>
    <t>Vigia</t>
  </si>
  <si>
    <t>5174-20</t>
  </si>
  <si>
    <t>SERVIÇOS DE VIGIAS E PORTARIA</t>
  </si>
  <si>
    <t>Piso S2</t>
  </si>
  <si>
    <t>Fone de ouvido com microfone e PTT.</t>
  </si>
  <si>
    <t>CURITIBA/PR</t>
  </si>
  <si>
    <t>01/02/2020 - PR000539/2020 - SIEMACO/CURITIBA/PR</t>
  </si>
  <si>
    <t>PORTEIRO</t>
  </si>
  <si>
    <t>5X2 Segunda a Sexta</t>
  </si>
  <si>
    <t>Das 07h30-18h30 = 50 hr/sem</t>
  </si>
  <si>
    <t>Intervalo de 01 hora sem reposição</t>
  </si>
  <si>
    <t>Cláusula 11ª CCT</t>
  </si>
  <si>
    <t>Adicional de Hora Extra</t>
  </si>
  <si>
    <t>Hora extra Adicional 50%</t>
  </si>
  <si>
    <t>DSR sobre hora extra</t>
  </si>
  <si>
    <t>Auxílio alimentação  - Cláusula 13ª CTT no mês</t>
  </si>
  <si>
    <t>Assistência Médica  -  Cláusula 15ª CCT</t>
  </si>
  <si>
    <t>Benefício Social Familiar  -  Cláusula 16ª CCT</t>
  </si>
  <si>
    <t>Fundo de Formação Profissional  -  Cláusula 22ª CCT</t>
  </si>
  <si>
    <t>Vale Alimentação nas Férias  - Cláusula 13ª CCT</t>
  </si>
  <si>
    <t xml:space="preserve">Outros: Auxílio Creche  - Cláusula 11ª CCT </t>
  </si>
  <si>
    <t>Multa sobre FGTS sobre aviso Prévio Indenizado e Aviso Prévio Trabalhado</t>
  </si>
  <si>
    <r>
      <rPr>
        <sz val="10"/>
        <color rgb="FF000000"/>
        <rFont val="Arial"/>
        <family val="2"/>
      </rPr>
      <t>Nota 1</t>
    </r>
    <r>
      <rPr>
        <b/>
        <sz val="10"/>
        <color rgb="FF000000"/>
        <rFont val="Arial"/>
        <family val="2"/>
      </rPr>
      <t>: </t>
    </r>
    <r>
      <rPr>
        <sz val="10"/>
        <color rgb="FF000000"/>
        <rFont val="Arial"/>
        <family val="2"/>
      </rPr>
      <t>Os itens que contemplam o módulo 4 se referem ao custo dos dias trabalhados pelo repositor/substituto, quando o empregado alocado na prestação de serviço estiver ausente, conforme as previsões estabelecidas na legislação. </t>
    </r>
    <r>
      <rPr>
        <b/>
        <sz val="10"/>
        <color rgb="FF000000"/>
        <rFont val="Arial"/>
        <family val="2"/>
      </rPr>
      <t>(Redação dada pela Instrução Normativa nº 7, de 2018) (Incidem sobre a soma do (Módulo 1 + Módulo 2 + Módulo 3)</t>
    </r>
  </si>
  <si>
    <t>Uniformes</t>
  </si>
  <si>
    <t>Equipamentos/Materiais / Armamento</t>
  </si>
  <si>
    <t>k</t>
  </si>
  <si>
    <t xml:space="preserve">VIGIA </t>
  </si>
  <si>
    <t>12 X 36 HR DIURNAS</t>
  </si>
  <si>
    <t>12 X 36 HR NOTURNAS</t>
  </si>
  <si>
    <t>Qtde de funcionário por posto</t>
  </si>
  <si>
    <t>Qtde de postos</t>
  </si>
  <si>
    <t>Valor Unitario por posto (R$)</t>
  </si>
  <si>
    <t>Noturno</t>
  </si>
  <si>
    <t>12 horas noturnas: 19h30-07h30</t>
  </si>
  <si>
    <t>Piso Térreo</t>
  </si>
  <si>
    <t>Segunda a sexta - Das 07h30-18h30 - (Intervalo de 01 hora para descanso e alimentação sem reposição)</t>
  </si>
  <si>
    <t>Horas</t>
  </si>
  <si>
    <t xml:space="preserve">TOTAL (Postos avulsos) (R$) </t>
  </si>
  <si>
    <t>SERVIÇOS DE MONITORAMENTO ELETRÔNICO</t>
  </si>
  <si>
    <t>Valor Mensal</t>
  </si>
  <si>
    <t xml:space="preserve">Monitoramento eletrônico </t>
  </si>
  <si>
    <t>Mensal</t>
  </si>
  <si>
    <t xml:space="preserve">TOTAL (R$) </t>
  </si>
  <si>
    <t>VALOR MENSAL(R$)</t>
  </si>
  <si>
    <t>VALOR ANUAL (R$)</t>
  </si>
  <si>
    <r>
      <rPr>
        <b/>
        <sz val="10"/>
        <color rgb="FF000000"/>
        <rFont val="Arial"/>
        <family val="2"/>
      </rPr>
      <t>Nota 1</t>
    </r>
    <r>
      <rPr>
        <sz val="10"/>
        <color rgb="FF000000"/>
        <rFont val="Arial"/>
        <family val="2"/>
      </rPr>
      <t xml:space="preserve">: A planilha de custo é peça fundamental para a composição dos custos dos serviços com dedicação exclusiva de mão de obra e para análise da exequibilidade da proposta, além de constituir instrumento essencial nos processos de repactuação ou revisões de preços. 
</t>
    </r>
    <r>
      <rPr>
        <b/>
        <sz val="10"/>
        <color rgb="FF000000"/>
        <rFont val="Arial"/>
        <family val="2"/>
      </rPr>
      <t>Nota 2</t>
    </r>
    <r>
      <rPr>
        <sz val="10"/>
        <color rgb="FF000000"/>
        <rFont val="Arial"/>
        <family val="2"/>
      </rPr>
      <t xml:space="preserve">: Os custos estimados para a contratação foram apurados mediante preenchimento de planilhas de custos e formação de preços e pesquisas de preços praticados no mercado com fornecedores da região e/ou contratos semelhantes. Os salários dos profissionais, bem como os demais benefícios, não poderão ser inferiores aos estabelecidos em Lei, Acordo, Dissídio ou Convenção Coletiva de Trabalho dos Sindicatos aos quais as Empresas e os profissionais estejam vinculados.
</t>
    </r>
  </si>
  <si>
    <t>SERVIÇOS DE VIGIAS E PORTARIA – AVULSOS PARA EVENTOS</t>
  </si>
  <si>
    <r>
      <t xml:space="preserve">Valor Unitario (R$) </t>
    </r>
    <r>
      <rPr>
        <b/>
        <sz val="8"/>
        <color rgb="FF000000"/>
        <rFont val="Arial"/>
        <family val="2"/>
      </rPr>
      <t>4e5</t>
    </r>
    <r>
      <rPr>
        <b/>
        <sz val="10"/>
        <color rgb="FF000000"/>
        <rFont val="Arial"/>
        <family val="2"/>
      </rPr>
      <t xml:space="preserve"> </t>
    </r>
  </si>
  <si>
    <r>
      <t xml:space="preserve">Quantidade horas </t>
    </r>
    <r>
      <rPr>
        <b/>
        <sz val="8"/>
        <color rgb="FF000000"/>
        <rFont val="Arial"/>
        <family val="2"/>
      </rPr>
      <t>3</t>
    </r>
  </si>
  <si>
    <r>
      <t>RESUMO DE CUSTOS</t>
    </r>
    <r>
      <rPr>
        <b/>
        <sz val="8"/>
        <color rgb="FF000000"/>
        <rFont val="Arial"/>
        <family val="2"/>
      </rPr>
      <t>2</t>
    </r>
    <r>
      <rPr>
        <b/>
        <sz val="11"/>
        <color rgb="FF000000"/>
        <rFont val="Arial"/>
        <family val="2"/>
      </rPr>
      <t xml:space="preserve"> - COM DEDICAÇÃO EXCLUSIVA DE MÃO DE OBRA</t>
    </r>
    <r>
      <rPr>
        <b/>
        <sz val="8"/>
        <color rgb="FF000000"/>
        <rFont val="Arial"/>
        <family val="2"/>
      </rPr>
      <t>1</t>
    </r>
  </si>
  <si>
    <t xml:space="preserve">Vigias para eventos </t>
  </si>
  <si>
    <t xml:space="preserve">Porteiros para eventos </t>
  </si>
  <si>
    <r>
      <rPr>
        <b/>
        <sz val="9"/>
        <color theme="1"/>
        <rFont val="Calibri"/>
        <family val="2"/>
        <scheme val="minor"/>
      </rPr>
      <t>Nota 3</t>
    </r>
    <r>
      <rPr>
        <sz val="9"/>
        <color theme="1"/>
        <rFont val="Calibri"/>
        <family val="2"/>
        <scheme val="minor"/>
      </rPr>
      <t xml:space="preserve">: quantidade se refere às horas estimadas para cada ano da vigência contratual podendo ou não ser utilizada a sua totalidade.                                                    </t>
    </r>
    <r>
      <rPr>
        <b/>
        <sz val="9"/>
        <color theme="1"/>
        <rFont val="Calibri"/>
        <family val="2"/>
        <scheme val="minor"/>
      </rPr>
      <t>Nota 4:</t>
    </r>
    <r>
      <rPr>
        <sz val="9"/>
        <color theme="1"/>
        <rFont val="Calibri"/>
        <family val="2"/>
        <scheme val="minor"/>
      </rPr>
      <t xml:space="preserve"> VIGIA: deve ser estipulado pela divisão do valor unitário do posto 24hrs pelas horas da jornada legal da escala 12x36 (720hrs).                                                  </t>
    </r>
    <r>
      <rPr>
        <b/>
        <sz val="9"/>
        <color theme="1"/>
        <rFont val="Calibri"/>
        <family val="2"/>
        <scheme val="minor"/>
      </rPr>
      <t>Nota 5</t>
    </r>
    <r>
      <rPr>
        <sz val="9"/>
        <color theme="1"/>
        <rFont val="Calibri"/>
        <family val="2"/>
        <scheme val="minor"/>
      </rPr>
      <t xml:space="preserve">: PORTEIRO: deve ser estipulado pela divisão do valor unitário do posto 5x2 pelas horas da jornada legal do posto (220hrs).
</t>
    </r>
  </si>
  <si>
    <t xml:space="preserve">TOTAL GERAL 
(postos fixos + postos avulsos + monitoramento eletrônico)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</si>
</sst>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R$&quot;* #,##0.00_-;\-&quot;R$&quot;* #,##0.00_-;_-&quot;R$&quot;* &quot;-&quot;??_-;_-@_-"/>
    <numFmt numFmtId="43" formatCode="_-* #,##0.00_-;\-* #,##0.00_-;_-* &quot;-&quot;??_-;_-@_-"/>
    <numFmt numFmtId="164" formatCode="&quot;R$&quot;\ #,##0.00;\-&quot;R$&quot;\ #,##0.00"/>
    <numFmt numFmtId="165" formatCode="_-&quot;R$&quot;\ * #,##0.00_-;\-&quot;R$&quot;\ * #,##0.00_-;_-&quot;R$&quot;\ * &quot;-&quot;??_-;_-@_-"/>
    <numFmt numFmtId="166" formatCode="[$R$-416]\ #,##0.00;[Red]\-[$R$-416]\ #,##0.00"/>
    <numFmt numFmtId="167" formatCode="&quot; R$ &quot;* #,##0.00\ ;&quot;-R$ &quot;* #,##0.00\ ;&quot; R$ &quot;* \-#\ ;@\ "/>
    <numFmt numFmtId="168" formatCode="&quot; R$&quot;* #,##0.00\ ;&quot; R$&quot;* \(#,##0.00\);&quot; R$&quot;* \-#\ ;@\ "/>
    <numFmt numFmtId="169" formatCode="#,##0.00%"/>
    <numFmt numFmtId="170" formatCode="&quot; R$ &quot;* #,##0.000\ ;&quot;-R$ &quot;* #,##0.000\ ;&quot; R$ &quot;* \-#.0\ ;@\ "/>
    <numFmt numFmtId="171" formatCode="[$-416]General"/>
    <numFmt numFmtId="172" formatCode="&quot; R$&quot;#,##0.00&quot; &quot;;&quot; R$(&quot;#,##0.00&quot;)&quot;;&quot; R$-&quot;#&quot; &quot;;&quot; &quot;@&quot; &quot;"/>
    <numFmt numFmtId="173" formatCode="[$-416]#,##0.00"/>
    <numFmt numFmtId="174" formatCode="&quot; R$&quot;#,##0.00&quot; &quot;;&quot; R$(&quot;#,##0.00&quot;)&quot;;&quot; R$-&quot;#&quot; &quot;;@&quot; &quot;"/>
    <numFmt numFmtId="175" formatCode="0;[Red]0"/>
    <numFmt numFmtId="176" formatCode="_(* #,##0.00_);_(* \(#,##0.00\);_(* \-??_);_(@_)"/>
    <numFmt numFmtId="177" formatCode="_-* #,##0.0000_-;\-* #,##0.0000_-;_-* &quot;-&quot;??_-;_-@_-"/>
    <numFmt numFmtId="178" formatCode="_-* #,##0.0000_-;\-* #,##0.0000_-;_-* &quot;-&quot;????_-;_-@_-"/>
    <numFmt numFmtId="179" formatCode="&quot;R$&quot;\ #,##0.0000;\-&quot;R$&quot;\ #,##0.0000"/>
  </numFmts>
  <fonts count="58">
    <font>
      <sz val="11"/>
      <color theme="1"/>
      <name val="Calibri"/>
      <family val="2"/>
      <scheme val="minor"/>
    </font>
    <font>
      <sz val="11"/>
      <color theme="1"/>
      <name val="Calibri"/>
      <family val="2"/>
      <scheme val="minor"/>
    </font>
    <font>
      <sz val="8"/>
      <name val="Arial"/>
      <family val="2"/>
    </font>
    <font>
      <sz val="10"/>
      <name val="Arial"/>
      <family val="2"/>
    </font>
    <font>
      <b/>
      <sz val="14"/>
      <color rgb="FF000000"/>
      <name val="Arial"/>
      <family val="2"/>
      <charset val="1"/>
    </font>
    <font>
      <b/>
      <sz val="14"/>
      <color theme="0"/>
      <name val="Arial"/>
      <family val="2"/>
    </font>
    <font>
      <b/>
      <sz val="12"/>
      <color theme="0"/>
      <name val="Arial"/>
      <family val="2"/>
    </font>
    <font>
      <sz val="12"/>
      <color rgb="FF000000"/>
      <name val="Arial"/>
      <family val="2"/>
      <charset val="1"/>
    </font>
    <font>
      <sz val="12"/>
      <name val="Arial"/>
      <family val="2"/>
      <charset val="1"/>
    </font>
    <font>
      <sz val="12"/>
      <color rgb="FFFF0000"/>
      <name val="Arial"/>
      <family val="2"/>
      <charset val="1"/>
    </font>
    <font>
      <b/>
      <sz val="12"/>
      <color rgb="FFFF0000"/>
      <name val="Arial"/>
      <family val="2"/>
      <charset val="1"/>
    </font>
    <font>
      <strike/>
      <sz val="12"/>
      <name val="Arial"/>
      <family val="2"/>
      <charset val="1"/>
    </font>
    <font>
      <b/>
      <sz val="12"/>
      <name val="Arial"/>
      <family val="2"/>
      <charset val="1"/>
    </font>
    <font>
      <b/>
      <sz val="12"/>
      <color rgb="FF000000"/>
      <name val="Arial"/>
      <family val="2"/>
      <charset val="1"/>
    </font>
    <font>
      <b/>
      <sz val="14"/>
      <color theme="0"/>
      <name val="Arial"/>
      <family val="2"/>
      <charset val="1"/>
    </font>
    <font>
      <sz val="11"/>
      <name val="Calibri"/>
      <family val="2"/>
      <scheme val="minor"/>
    </font>
    <font>
      <b/>
      <sz val="18"/>
      <color theme="0"/>
      <name val="Arial"/>
      <family val="2"/>
    </font>
    <font>
      <b/>
      <sz val="12"/>
      <name val="Arial"/>
      <family val="2"/>
    </font>
    <font>
      <sz val="10"/>
      <color rgb="FF000000"/>
      <name val="Arial"/>
      <family val="2"/>
      <charset val="1"/>
    </font>
    <font>
      <sz val="12"/>
      <color theme="0"/>
      <name val="Arial"/>
      <family val="2"/>
    </font>
    <font>
      <b/>
      <sz val="12"/>
      <color theme="0"/>
      <name val="Arial"/>
      <family val="2"/>
      <charset val="1"/>
    </font>
    <font>
      <i/>
      <sz val="12"/>
      <name val="Arial"/>
      <family val="2"/>
    </font>
    <font>
      <b/>
      <sz val="10"/>
      <color rgb="FF000000"/>
      <name val="Arial"/>
      <family val="2"/>
    </font>
    <font>
      <i/>
      <sz val="12"/>
      <color rgb="FF000000"/>
      <name val="Arial"/>
      <family val="2"/>
    </font>
    <font>
      <b/>
      <sz val="12"/>
      <color rgb="FF000000"/>
      <name val="Arial"/>
      <family val="2"/>
    </font>
    <font>
      <sz val="12"/>
      <name val="Arial"/>
      <family val="2"/>
    </font>
    <font>
      <sz val="12"/>
      <color rgb="FF000000"/>
      <name val="Arial"/>
      <family val="2"/>
    </font>
    <font>
      <sz val="10"/>
      <color rgb="FF000000"/>
      <name val="Arial"/>
      <family val="2"/>
    </font>
    <font>
      <sz val="12"/>
      <color rgb="FFFF0000"/>
      <name val="Arial"/>
      <family val="2"/>
    </font>
    <font>
      <b/>
      <i/>
      <sz val="12"/>
      <name val="Arial"/>
      <family val="2"/>
    </font>
    <font>
      <b/>
      <i/>
      <sz val="12"/>
      <color rgb="FF000000"/>
      <name val="Arial"/>
      <family val="2"/>
    </font>
    <font>
      <b/>
      <sz val="12"/>
      <color rgb="FFFF0000"/>
      <name val="Arial"/>
      <family val="2"/>
    </font>
    <font>
      <b/>
      <sz val="12"/>
      <color indexed="81"/>
      <name val="Arial"/>
      <family val="2"/>
    </font>
    <font>
      <b/>
      <sz val="11"/>
      <color indexed="81"/>
      <name val="Segoe UI"/>
      <family val="2"/>
    </font>
    <font>
      <sz val="11"/>
      <color indexed="81"/>
      <name val="Segoe UI"/>
      <family val="2"/>
    </font>
    <font>
      <sz val="9"/>
      <color indexed="81"/>
      <name val="Segoe UI"/>
      <family val="2"/>
    </font>
    <font>
      <sz val="12"/>
      <color indexed="81"/>
      <name val="Arial"/>
      <family val="2"/>
    </font>
    <font>
      <sz val="10"/>
      <color theme="1"/>
      <name val="Arial"/>
      <family val="2"/>
    </font>
    <font>
      <sz val="11"/>
      <color theme="1"/>
      <name val="Arial"/>
      <family val="2"/>
    </font>
    <font>
      <b/>
      <sz val="10"/>
      <color theme="1"/>
      <name val="Arial"/>
      <family val="2"/>
    </font>
    <font>
      <sz val="10"/>
      <color theme="1"/>
      <name val="Arial1"/>
    </font>
    <font>
      <b/>
      <sz val="9"/>
      <color rgb="FF000000"/>
      <name val="Arial"/>
      <family val="2"/>
    </font>
    <font>
      <b/>
      <sz val="9"/>
      <color theme="1"/>
      <name val="Arial"/>
      <family val="2"/>
    </font>
    <font>
      <b/>
      <sz val="11"/>
      <color rgb="FF000000"/>
      <name val="Arial"/>
      <family val="2"/>
    </font>
    <font>
      <sz val="10"/>
      <name val="Arial"/>
      <family val="2"/>
      <charset val="1"/>
    </font>
    <font>
      <sz val="11"/>
      <color indexed="8"/>
      <name val="Calibri"/>
      <family val="2"/>
      <charset val="1"/>
    </font>
    <font>
      <sz val="11"/>
      <color indexed="8"/>
      <name val="Calibri"/>
      <family val="2"/>
    </font>
    <font>
      <b/>
      <sz val="18"/>
      <color indexed="56"/>
      <name val="Cambria"/>
      <family val="2"/>
    </font>
    <font>
      <sz val="12"/>
      <color theme="1"/>
      <name val="Arial"/>
      <family val="2"/>
    </font>
    <font>
      <sz val="11"/>
      <color rgb="FFFF0000"/>
      <name val="Arial"/>
      <family val="2"/>
    </font>
    <font>
      <b/>
      <sz val="10"/>
      <color indexed="81"/>
      <name val="Segoe UI"/>
      <family val="2"/>
    </font>
    <font>
      <sz val="10"/>
      <color indexed="81"/>
      <name val="Segoe UI"/>
      <family val="2"/>
    </font>
    <font>
      <b/>
      <sz val="11"/>
      <color theme="1"/>
      <name val="Calibri"/>
      <family val="2"/>
      <scheme val="minor"/>
    </font>
    <font>
      <sz val="9"/>
      <color theme="1"/>
      <name val="Calibri"/>
      <family val="2"/>
      <scheme val="minor"/>
    </font>
    <font>
      <b/>
      <sz val="14"/>
      <color theme="1"/>
      <name val="Calibri"/>
      <family val="2"/>
      <scheme val="minor"/>
    </font>
    <font>
      <b/>
      <sz val="12"/>
      <color theme="1"/>
      <name val="Calibri"/>
      <family val="2"/>
      <scheme val="minor"/>
    </font>
    <font>
      <b/>
      <sz val="8"/>
      <color rgb="FF000000"/>
      <name val="Arial"/>
      <family val="2"/>
    </font>
    <font>
      <b/>
      <sz val="9"/>
      <color theme="1"/>
      <name val="Calibri"/>
      <family val="2"/>
      <scheme val="minor"/>
    </font>
  </fonts>
  <fills count="15">
    <fill>
      <patternFill patternType="none"/>
    </fill>
    <fill>
      <patternFill patternType="gray125"/>
    </fill>
    <fill>
      <patternFill patternType="solid">
        <fgColor theme="2" tint="-0.749992370372631"/>
        <bgColor rgb="FF33CCCC"/>
      </patternFill>
    </fill>
    <fill>
      <patternFill patternType="solid">
        <fgColor theme="0" tint="-0.14999847407452621"/>
        <bgColor indexed="64"/>
      </patternFill>
    </fill>
    <fill>
      <patternFill patternType="solid">
        <fgColor theme="2" tint="-0.749992370372631"/>
        <bgColor indexed="64"/>
      </patternFill>
    </fill>
    <fill>
      <patternFill patternType="solid">
        <fgColor theme="4" tint="-0.249977111117893"/>
        <bgColor rgb="FF33CCCC"/>
      </patternFill>
    </fill>
    <fill>
      <patternFill patternType="solid">
        <fgColor theme="0"/>
        <bgColor indexed="64"/>
      </patternFill>
    </fill>
    <fill>
      <patternFill patternType="solid">
        <fgColor rgb="FFBFBFBF"/>
        <bgColor rgb="FFCCCCFF"/>
      </patternFill>
    </fill>
    <fill>
      <patternFill patternType="solid">
        <fgColor theme="0"/>
        <bgColor rgb="FFCCCCFF"/>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59999389629810485"/>
        <bgColor rgb="FFCCCCFF"/>
      </patternFill>
    </fill>
    <fill>
      <patternFill patternType="solid">
        <fgColor theme="5" tint="-0.249977111117893"/>
        <bgColor rgb="FF33CCCC"/>
      </patternFill>
    </fill>
    <fill>
      <patternFill patternType="solid">
        <fgColor theme="5" tint="0.79998168889431442"/>
        <bgColor indexed="64"/>
      </patternFill>
    </fill>
    <fill>
      <patternFill patternType="solid">
        <fgColor theme="0" tint="-0.249977111117893"/>
        <bgColor indexed="64"/>
      </patternFill>
    </fill>
  </fills>
  <borders count="43">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right/>
      <top style="thin">
        <color auto="1"/>
      </top>
      <bottom/>
      <diagonal/>
    </border>
    <border>
      <left style="medium">
        <color indexed="64"/>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bottom style="thin">
        <color indexed="64"/>
      </bottom>
      <diagonal/>
    </border>
    <border>
      <left/>
      <right style="thin">
        <color indexed="64"/>
      </right>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C3D69B"/>
      </top>
      <bottom style="thin">
        <color rgb="FF000000"/>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bottom style="medium">
        <color indexed="64"/>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C3D69B"/>
      </top>
      <bottom/>
      <diagonal/>
    </border>
    <border>
      <left/>
      <right style="thin">
        <color rgb="FF000000"/>
      </right>
      <top/>
      <bottom style="thin">
        <color rgb="FF000000"/>
      </bottom>
      <diagonal/>
    </border>
    <border>
      <left style="thin">
        <color auto="1"/>
      </left>
      <right/>
      <top style="thin">
        <color auto="1"/>
      </top>
      <bottom/>
      <diagonal/>
    </border>
    <border>
      <left/>
      <right style="thin">
        <color rgb="FF000000"/>
      </right>
      <top style="thin">
        <color rgb="FFC3D69B"/>
      </top>
      <bottom/>
      <diagonal/>
    </border>
    <border>
      <left style="thin">
        <color auto="1"/>
      </left>
      <right style="thin">
        <color auto="1"/>
      </right>
      <top/>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2" fillId="0" borderId="0" applyFill="0" applyBorder="0" applyAlignment="0" applyProtection="0"/>
    <xf numFmtId="0" fontId="3" fillId="0" borderId="0"/>
    <xf numFmtId="171" fontId="37" fillId="0" borderId="0"/>
    <xf numFmtId="0" fontId="38" fillId="0" borderId="0"/>
    <xf numFmtId="172" fontId="40" fillId="0" borderId="0"/>
    <xf numFmtId="174" fontId="27" fillId="0" borderId="0" applyFont="0" applyBorder="0" applyProtection="0"/>
    <xf numFmtId="165" fontId="1" fillId="0" borderId="0" applyFont="0" applyFill="0" applyBorder="0" applyAlignment="0" applyProtection="0"/>
    <xf numFmtId="0" fontId="44" fillId="0" borderId="0"/>
    <xf numFmtId="0" fontId="45" fillId="0" borderId="0"/>
    <xf numFmtId="0" fontId="46" fillId="0" borderId="0" applyFill="0" applyProtection="0"/>
    <xf numFmtId="0" fontId="3" fillId="0" borderId="0"/>
    <xf numFmtId="0" fontId="47" fillId="0" borderId="0" applyNumberFormat="0" applyFill="0" applyBorder="0" applyAlignment="0" applyProtection="0"/>
    <xf numFmtId="176" fontId="3" fillId="0" borderId="0" applyFill="0" applyBorder="0" applyAlignment="0" applyProtection="0"/>
  </cellStyleXfs>
  <cellXfs count="379">
    <xf numFmtId="0" fontId="0" fillId="0" borderId="0" xfId="0"/>
    <xf numFmtId="166" fontId="0" fillId="0" borderId="0" xfId="0" applyNumberFormat="1"/>
    <xf numFmtId="43" fontId="0" fillId="0" borderId="0" xfId="1" applyFont="1"/>
    <xf numFmtId="0" fontId="6" fillId="0" borderId="0" xfId="0" applyFont="1"/>
    <xf numFmtId="0" fontId="7" fillId="3" borderId="5" xfId="0" applyFont="1" applyFill="1" applyBorder="1" applyAlignment="1">
      <alignment horizontal="center" vertical="center"/>
    </xf>
    <xf numFmtId="0" fontId="8" fillId="3" borderId="0" xfId="0" applyFont="1" applyFill="1" applyBorder="1" applyAlignment="1">
      <alignment horizontal="left" vertical="center"/>
    </xf>
    <xf numFmtId="0" fontId="9" fillId="3" borderId="0" xfId="0" applyFont="1" applyFill="1" applyBorder="1" applyAlignment="1" applyProtection="1">
      <alignment horizontal="left" vertical="center"/>
      <protection locked="0"/>
    </xf>
    <xf numFmtId="0" fontId="8" fillId="3" borderId="5" xfId="0" applyFont="1" applyFill="1" applyBorder="1" applyAlignment="1">
      <alignment horizontal="center" vertical="center"/>
    </xf>
    <xf numFmtId="0" fontId="8" fillId="3" borderId="0" xfId="0" applyFont="1" applyFill="1" applyBorder="1" applyAlignment="1">
      <alignment vertical="center"/>
    </xf>
    <xf numFmtId="0" fontId="8" fillId="3" borderId="0" xfId="0" applyFont="1" applyFill="1" applyBorder="1" applyAlignment="1" applyProtection="1">
      <alignment vertical="center"/>
      <protection locked="0"/>
    </xf>
    <xf numFmtId="0" fontId="8" fillId="3" borderId="6" xfId="0" applyFont="1" applyFill="1" applyBorder="1" applyAlignment="1" applyProtection="1">
      <alignment vertical="center"/>
      <protection locked="0"/>
    </xf>
    <xf numFmtId="0" fontId="9" fillId="3" borderId="0" xfId="0" applyFont="1" applyFill="1" applyBorder="1" applyAlignment="1" applyProtection="1">
      <alignment vertical="center" wrapText="1"/>
      <protection locked="0"/>
    </xf>
    <xf numFmtId="0" fontId="9" fillId="3" borderId="6" xfId="0" applyFont="1" applyFill="1" applyBorder="1" applyAlignment="1" applyProtection="1">
      <alignment vertical="center" wrapText="1"/>
      <protection locked="0"/>
    </xf>
    <xf numFmtId="0" fontId="12" fillId="3" borderId="0" xfId="0" applyFont="1" applyFill="1" applyBorder="1" applyAlignment="1">
      <alignment vertical="center"/>
    </xf>
    <xf numFmtId="0" fontId="13" fillId="3" borderId="0" xfId="0" applyFont="1" applyFill="1" applyBorder="1" applyAlignment="1">
      <alignment horizontal="left" vertical="top" wrapText="1"/>
    </xf>
    <xf numFmtId="0" fontId="13" fillId="3" borderId="6" xfId="0" applyFont="1" applyFill="1" applyBorder="1" applyAlignment="1">
      <alignment horizontal="center" vertical="center" wrapText="1"/>
    </xf>
    <xf numFmtId="0" fontId="9" fillId="3" borderId="0" xfId="0" applyFont="1" applyFill="1" applyBorder="1" applyAlignment="1" applyProtection="1">
      <alignment vertical="center"/>
      <protection locked="0"/>
    </xf>
    <xf numFmtId="0" fontId="9" fillId="3" borderId="0" xfId="0" applyFont="1" applyFill="1" applyBorder="1" applyAlignment="1">
      <alignment vertical="center"/>
    </xf>
    <xf numFmtId="0" fontId="9" fillId="3" borderId="0" xfId="0" applyFont="1" applyFill="1" applyBorder="1" applyAlignment="1" applyProtection="1">
      <alignment horizontal="left" vertical="top" wrapText="1"/>
      <protection locked="0"/>
    </xf>
    <xf numFmtId="0" fontId="9" fillId="3" borderId="6" xfId="0" applyFont="1" applyFill="1" applyBorder="1" applyAlignment="1">
      <alignment horizontal="center" vertical="center" wrapText="1"/>
    </xf>
    <xf numFmtId="0" fontId="8" fillId="3" borderId="0" xfId="0" applyFont="1" applyFill="1" applyBorder="1" applyAlignment="1">
      <alignment horizontal="left" vertical="top" wrapText="1"/>
    </xf>
    <xf numFmtId="0" fontId="6" fillId="2" borderId="5" xfId="0" applyFont="1" applyFill="1" applyBorder="1" applyAlignment="1">
      <alignment horizontal="center" vertical="center"/>
    </xf>
    <xf numFmtId="0" fontId="9" fillId="3" borderId="6" xfId="0" applyFont="1" applyFill="1" applyBorder="1" applyAlignment="1" applyProtection="1">
      <alignment vertical="center"/>
      <protection locked="0"/>
    </xf>
    <xf numFmtId="166" fontId="9" fillId="3" borderId="0" xfId="0" applyNumberFormat="1" applyFont="1" applyFill="1" applyBorder="1" applyAlignment="1" applyProtection="1">
      <alignment vertical="center"/>
      <protection locked="0"/>
    </xf>
    <xf numFmtId="166" fontId="9" fillId="3" borderId="6" xfId="0" applyNumberFormat="1" applyFont="1" applyFill="1" applyBorder="1" applyAlignment="1" applyProtection="1">
      <alignment vertical="center"/>
      <protection locked="0"/>
    </xf>
    <xf numFmtId="166" fontId="9" fillId="3" borderId="0" xfId="0" applyNumberFormat="1" applyFont="1" applyFill="1" applyBorder="1" applyAlignment="1" applyProtection="1">
      <alignment horizontal="left" vertical="center"/>
      <protection locked="0"/>
    </xf>
    <xf numFmtId="166" fontId="9" fillId="3" borderId="0" xfId="0" applyNumberFormat="1" applyFont="1" applyFill="1" applyBorder="1" applyAlignment="1">
      <alignment horizontal="left" vertical="center"/>
    </xf>
    <xf numFmtId="166" fontId="9" fillId="3" borderId="6" xfId="0" applyNumberFormat="1" applyFont="1" applyFill="1" applyBorder="1" applyAlignment="1">
      <alignment horizontal="left" vertical="center"/>
    </xf>
    <xf numFmtId="0" fontId="15" fillId="0" borderId="0" xfId="0" applyFont="1" applyFill="1"/>
    <xf numFmtId="0" fontId="7" fillId="3" borderId="7" xfId="0" applyFont="1" applyFill="1" applyBorder="1" applyAlignment="1">
      <alignment horizontal="center" vertical="center"/>
    </xf>
    <xf numFmtId="0" fontId="8" fillId="3" borderId="8" xfId="0" applyFont="1" applyFill="1" applyBorder="1" applyAlignment="1">
      <alignment vertical="center" wrapText="1"/>
    </xf>
    <xf numFmtId="49" fontId="9" fillId="3" borderId="8" xfId="0" applyNumberFormat="1" applyFont="1" applyFill="1" applyBorder="1" applyAlignment="1" applyProtection="1">
      <alignment vertical="center"/>
      <protection locked="0"/>
    </xf>
    <xf numFmtId="49" fontId="9" fillId="3" borderId="9" xfId="0" applyNumberFormat="1" applyFont="1" applyFill="1" applyBorder="1" applyAlignment="1" applyProtection="1">
      <alignment vertical="center"/>
      <protection locked="0"/>
    </xf>
    <xf numFmtId="0" fontId="7" fillId="0" borderId="0" xfId="0" applyFont="1" applyFill="1" applyAlignment="1">
      <alignment horizontal="center" vertical="center"/>
    </xf>
    <xf numFmtId="0" fontId="8" fillId="0" borderId="0" xfId="0" applyFont="1" applyFill="1" applyAlignment="1">
      <alignment vertical="center" wrapText="1"/>
    </xf>
    <xf numFmtId="49" fontId="9" fillId="0" borderId="0" xfId="0" applyNumberFormat="1" applyFont="1" applyFill="1" applyBorder="1" applyAlignment="1" applyProtection="1">
      <alignment horizontal="left" vertical="center"/>
      <protection locked="0"/>
    </xf>
    <xf numFmtId="0" fontId="6" fillId="5" borderId="2" xfId="0" applyFont="1" applyFill="1" applyBorder="1" applyAlignment="1">
      <alignment horizontal="center" vertical="center"/>
    </xf>
    <xf numFmtId="0" fontId="17" fillId="0" borderId="0" xfId="0" applyFont="1" applyFill="1"/>
    <xf numFmtId="0" fontId="7" fillId="0" borderId="5" xfId="0" applyFont="1" applyBorder="1" applyAlignment="1">
      <alignment horizontal="center" vertical="center"/>
    </xf>
    <xf numFmtId="0" fontId="8" fillId="0" borderId="0" xfId="0" applyFont="1" applyBorder="1" applyAlignment="1"/>
    <xf numFmtId="166" fontId="8" fillId="0" borderId="0" xfId="0" applyNumberFormat="1" applyFont="1" applyBorder="1" applyAlignment="1"/>
    <xf numFmtId="0" fontId="0" fillId="0" borderId="0" xfId="0" applyBorder="1"/>
    <xf numFmtId="0" fontId="7" fillId="0" borderId="0" xfId="0" applyFont="1" applyBorder="1" applyAlignment="1"/>
    <xf numFmtId="0" fontId="7" fillId="6" borderId="0" xfId="0" applyFont="1" applyFill="1" applyBorder="1" applyAlignment="1"/>
    <xf numFmtId="0" fontId="8" fillId="6" borderId="10" xfId="0" applyFont="1" applyFill="1" applyBorder="1" applyAlignment="1" applyProtection="1">
      <alignment horizontal="center"/>
      <protection locked="0"/>
    </xf>
    <xf numFmtId="10" fontId="9" fillId="6" borderId="10" xfId="0" applyNumberFormat="1" applyFont="1" applyFill="1" applyBorder="1" applyAlignment="1" applyProtection="1">
      <alignment horizontal="center" vertical="center"/>
      <protection locked="0"/>
    </xf>
    <xf numFmtId="0" fontId="8" fillId="6" borderId="10" xfId="0" applyFont="1" applyFill="1" applyBorder="1" applyAlignment="1">
      <alignment horizontal="center"/>
    </xf>
    <xf numFmtId="167" fontId="7" fillId="6" borderId="10" xfId="0" applyNumberFormat="1" applyFont="1" applyFill="1" applyBorder="1" applyAlignment="1">
      <alignment horizontal="center" vertical="center"/>
    </xf>
    <xf numFmtId="167" fontId="7" fillId="0" borderId="0" xfId="0" applyNumberFormat="1" applyFont="1" applyBorder="1" applyAlignment="1"/>
    <xf numFmtId="166" fontId="9" fillId="6" borderId="10" xfId="0" applyNumberFormat="1" applyFont="1" applyFill="1" applyBorder="1" applyAlignment="1" applyProtection="1">
      <alignment horizontal="center"/>
      <protection locked="0"/>
    </xf>
    <xf numFmtId="0" fontId="0" fillId="6" borderId="0" xfId="0" applyFill="1" applyBorder="1"/>
    <xf numFmtId="167" fontId="7" fillId="0" borderId="6" xfId="0" applyNumberFormat="1" applyFont="1" applyBorder="1" applyAlignment="1"/>
    <xf numFmtId="0" fontId="19" fillId="0" borderId="0" xfId="0" applyFont="1"/>
    <xf numFmtId="0" fontId="20" fillId="9" borderId="5" xfId="0" applyFont="1" applyFill="1" applyBorder="1" applyAlignment="1">
      <alignment horizontal="center" vertical="center"/>
    </xf>
    <xf numFmtId="167" fontId="7" fillId="0" borderId="0" xfId="0" applyNumberFormat="1" applyFont="1" applyBorder="1" applyAlignment="1">
      <alignment vertical="center"/>
    </xf>
    <xf numFmtId="10" fontId="7" fillId="0" borderId="0" xfId="0" applyNumberFormat="1" applyFont="1" applyBorder="1" applyAlignment="1">
      <alignment horizontal="center" vertical="center"/>
    </xf>
    <xf numFmtId="167" fontId="7" fillId="0" borderId="6" xfId="0" applyNumberFormat="1" applyFont="1" applyBorder="1" applyAlignment="1">
      <alignment vertical="center"/>
    </xf>
    <xf numFmtId="168" fontId="7" fillId="0" borderId="0" xfId="0" applyNumberFormat="1" applyFont="1" applyBorder="1" applyAlignment="1"/>
    <xf numFmtId="10" fontId="7" fillId="0" borderId="0" xfId="0" applyNumberFormat="1" applyFont="1" applyBorder="1" applyAlignment="1">
      <alignment horizontal="center"/>
    </xf>
    <xf numFmtId="0" fontId="21" fillId="0" borderId="0" xfId="0" applyFont="1" applyBorder="1" applyAlignment="1"/>
    <xf numFmtId="0" fontId="6" fillId="5" borderId="5" xfId="0" applyFont="1" applyFill="1" applyBorder="1" applyAlignment="1">
      <alignment horizontal="center" vertical="center"/>
    </xf>
    <xf numFmtId="0" fontId="8" fillId="0" borderId="0" xfId="0" applyFont="1" applyBorder="1" applyAlignment="1">
      <alignment wrapText="1"/>
    </xf>
    <xf numFmtId="10" fontId="8" fillId="0" borderId="0" xfId="0" applyNumberFormat="1" applyFont="1" applyBorder="1" applyAlignment="1" applyProtection="1">
      <alignment horizontal="center" vertical="center"/>
      <protection locked="0"/>
    </xf>
    <xf numFmtId="10" fontId="8" fillId="0" borderId="0" xfId="0" applyNumberFormat="1" applyFont="1" applyBorder="1" applyAlignment="1">
      <alignment horizontal="center" vertical="center"/>
    </xf>
    <xf numFmtId="0" fontId="7" fillId="0" borderId="0" xfId="0" applyFont="1" applyBorder="1" applyAlignment="1">
      <alignment horizontal="left" wrapText="1"/>
    </xf>
    <xf numFmtId="0" fontId="12" fillId="0" borderId="11" xfId="0" applyFont="1" applyBorder="1" applyAlignment="1"/>
    <xf numFmtId="0" fontId="12" fillId="0" borderId="11" xfId="0" applyFont="1" applyFill="1" applyBorder="1" applyAlignment="1"/>
    <xf numFmtId="0" fontId="7" fillId="0" borderId="6" xfId="0" applyFont="1" applyBorder="1" applyAlignment="1"/>
    <xf numFmtId="0" fontId="23" fillId="0" borderId="13" xfId="0" applyFont="1" applyBorder="1" applyAlignment="1"/>
    <xf numFmtId="0" fontId="7" fillId="0" borderId="0" xfId="0" applyFont="1" applyFill="1" applyBorder="1" applyAlignment="1"/>
    <xf numFmtId="0" fontId="7" fillId="0" borderId="1" xfId="0" applyFont="1" applyBorder="1" applyAlignment="1"/>
    <xf numFmtId="0" fontId="7" fillId="0" borderId="16" xfId="0"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xf numFmtId="169" fontId="7" fillId="0" borderId="0" xfId="0" applyNumberFormat="1" applyFont="1" applyFill="1" applyBorder="1" applyAlignment="1">
      <alignment horizontal="left" vertical="center"/>
    </xf>
    <xf numFmtId="167" fontId="24" fillId="0" borderId="6" xfId="0" applyNumberFormat="1" applyFont="1" applyBorder="1" applyAlignment="1"/>
    <xf numFmtId="0" fontId="7" fillId="0" borderId="16"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10" fontId="8" fillId="0" borderId="0" xfId="0" applyNumberFormat="1" applyFont="1" applyFill="1" applyBorder="1" applyAlignment="1">
      <alignment vertical="center"/>
    </xf>
    <xf numFmtId="0" fontId="8" fillId="0" borderId="0" xfId="0" applyFont="1" applyBorder="1" applyAlignment="1">
      <alignment vertical="center"/>
    </xf>
    <xf numFmtId="9" fontId="8" fillId="0" borderId="0" xfId="3" applyFont="1" applyBorder="1" applyAlignment="1">
      <alignment horizontal="center" vertical="center"/>
    </xf>
    <xf numFmtId="49" fontId="7" fillId="7" borderId="17" xfId="0" applyNumberFormat="1" applyFont="1" applyFill="1" applyBorder="1" applyAlignment="1">
      <alignment horizontal="center" vertical="center"/>
    </xf>
    <xf numFmtId="0" fontId="8" fillId="7" borderId="18" xfId="0" applyFont="1" applyFill="1" applyBorder="1" applyAlignment="1">
      <alignment vertical="center"/>
    </xf>
    <xf numFmtId="166" fontId="12" fillId="7" borderId="19" xfId="0" applyNumberFormat="1" applyFont="1" applyFill="1" applyBorder="1" applyAlignment="1">
      <alignment vertical="center"/>
    </xf>
    <xf numFmtId="49" fontId="7" fillId="10" borderId="5" xfId="0" applyNumberFormat="1" applyFont="1" applyFill="1" applyBorder="1" applyAlignment="1">
      <alignment horizontal="center" vertical="center"/>
    </xf>
    <xf numFmtId="0" fontId="7" fillId="10" borderId="0" xfId="0" applyFont="1" applyFill="1" applyBorder="1" applyAlignment="1">
      <alignment horizontal="left" vertical="center"/>
    </xf>
    <xf numFmtId="0" fontId="13" fillId="10" borderId="0" xfId="0" applyFont="1" applyFill="1" applyBorder="1" applyAlignment="1">
      <alignment horizontal="left" vertical="center"/>
    </xf>
    <xf numFmtId="0" fontId="8" fillId="10" borderId="0" xfId="0" applyFont="1" applyFill="1" applyBorder="1" applyAlignment="1">
      <alignment vertical="center"/>
    </xf>
    <xf numFmtId="166" fontId="8" fillId="10" borderId="6" xfId="0" applyNumberFormat="1" applyFont="1" applyFill="1" applyBorder="1" applyAlignment="1">
      <alignment vertical="center"/>
    </xf>
    <xf numFmtId="49" fontId="7" fillId="11" borderId="17" xfId="0" applyNumberFormat="1" applyFont="1" applyFill="1" applyBorder="1" applyAlignment="1">
      <alignment horizontal="center" vertical="center"/>
    </xf>
    <xf numFmtId="0" fontId="13" fillId="11" borderId="18" xfId="0" applyFont="1" applyFill="1" applyBorder="1" applyAlignment="1">
      <alignment horizontal="left" vertical="center"/>
    </xf>
    <xf numFmtId="0" fontId="8" fillId="11" borderId="18" xfId="0" applyFont="1" applyFill="1" applyBorder="1" applyAlignment="1">
      <alignment vertical="center"/>
    </xf>
    <xf numFmtId="166" fontId="12" fillId="11" borderId="19" xfId="0" applyNumberFormat="1" applyFont="1" applyFill="1" applyBorder="1" applyAlignment="1">
      <alignment vertical="center"/>
    </xf>
    <xf numFmtId="49" fontId="7"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166" fontId="12" fillId="0" borderId="0" xfId="0" applyNumberFormat="1" applyFont="1" applyFill="1" applyBorder="1" applyAlignment="1">
      <alignment vertical="center"/>
    </xf>
    <xf numFmtId="0" fontId="8" fillId="0" borderId="0" xfId="0" applyFont="1" applyBorder="1" applyAlignment="1">
      <alignment horizontal="left" wrapText="1"/>
    </xf>
    <xf numFmtId="0" fontId="8" fillId="0" borderId="0" xfId="0" applyFont="1" applyBorder="1" applyAlignment="1">
      <alignment horizontal="left" vertical="center" wrapText="1"/>
    </xf>
    <xf numFmtId="0" fontId="26" fillId="0" borderId="5" xfId="0" applyFont="1" applyBorder="1" applyAlignment="1">
      <alignment horizontal="center" vertical="center"/>
    </xf>
    <xf numFmtId="0" fontId="25" fillId="0" borderId="0" xfId="0" applyFont="1" applyBorder="1" applyAlignment="1"/>
    <xf numFmtId="0" fontId="10" fillId="7" borderId="17" xfId="0" applyFont="1" applyFill="1" applyBorder="1" applyAlignment="1">
      <alignment horizontal="center" vertical="center"/>
    </xf>
    <xf numFmtId="0" fontId="13" fillId="7" borderId="18" xfId="0" applyFont="1" applyFill="1" applyBorder="1" applyAlignment="1"/>
    <xf numFmtId="0" fontId="8" fillId="7" borderId="18" xfId="0" applyFont="1" applyFill="1" applyBorder="1" applyAlignment="1"/>
    <xf numFmtId="167" fontId="7" fillId="7" borderId="18" xfId="0" applyNumberFormat="1" applyFont="1" applyFill="1" applyBorder="1" applyAlignment="1">
      <alignment vertical="center"/>
    </xf>
    <xf numFmtId="10" fontId="13" fillId="7" borderId="18" xfId="0" applyNumberFormat="1" applyFont="1" applyFill="1" applyBorder="1" applyAlignment="1">
      <alignment horizontal="center" vertical="center"/>
    </xf>
    <xf numFmtId="167" fontId="13" fillId="7" borderId="19" xfId="0" applyNumberFormat="1" applyFont="1" applyFill="1" applyBorder="1" applyAlignment="1">
      <alignment vertical="center"/>
    </xf>
    <xf numFmtId="0" fontId="10" fillId="0" borderId="0" xfId="0" applyFont="1" applyFill="1" applyBorder="1" applyAlignment="1">
      <alignment horizontal="center" vertical="center"/>
    </xf>
    <xf numFmtId="0" fontId="13" fillId="0" borderId="0" xfId="0" applyFont="1" applyFill="1" applyBorder="1" applyAlignment="1"/>
    <xf numFmtId="167" fontId="7" fillId="0" borderId="0" xfId="0" applyNumberFormat="1" applyFont="1" applyFill="1" applyBorder="1" applyAlignment="1">
      <alignment vertical="center"/>
    </xf>
    <xf numFmtId="10" fontId="13" fillId="0" borderId="0" xfId="0" applyNumberFormat="1" applyFont="1" applyFill="1" applyBorder="1" applyAlignment="1">
      <alignment horizontal="center" vertical="center"/>
    </xf>
    <xf numFmtId="167" fontId="13" fillId="0" borderId="0" xfId="0" applyNumberFormat="1" applyFont="1" applyFill="1" applyBorder="1" applyAlignment="1">
      <alignment vertical="center"/>
    </xf>
    <xf numFmtId="0" fontId="8" fillId="0" borderId="5" xfId="0" applyFont="1" applyBorder="1" applyAlignment="1">
      <alignment horizontal="center" vertical="center"/>
    </xf>
    <xf numFmtId="0" fontId="7" fillId="0" borderId="0" xfId="0" applyFont="1" applyBorder="1" applyAlignment="1">
      <alignment vertical="center" wrapText="1"/>
    </xf>
    <xf numFmtId="0" fontId="8" fillId="0" borderId="0" xfId="0" applyFont="1" applyBorder="1" applyAlignment="1" applyProtection="1">
      <alignment horizontal="center" vertical="center" wrapText="1"/>
      <protection locked="0"/>
    </xf>
    <xf numFmtId="10" fontId="8" fillId="0" borderId="0" xfId="0" applyNumberFormat="1" applyFont="1" applyBorder="1" applyAlignment="1" applyProtection="1">
      <alignment horizontal="center" vertical="center" wrapText="1"/>
      <protection locked="0"/>
    </xf>
    <xf numFmtId="10" fontId="8" fillId="0" borderId="0" xfId="3" applyNumberFormat="1" applyFont="1" applyBorder="1" applyAlignment="1" applyProtection="1">
      <alignment horizontal="center" vertical="center" wrapText="1"/>
      <protection locked="0"/>
    </xf>
    <xf numFmtId="0" fontId="8" fillId="0" borderId="0" xfId="0" applyFont="1" applyBorder="1" applyAlignment="1" applyProtection="1">
      <alignment horizontal="center"/>
      <protection locked="0"/>
    </xf>
    <xf numFmtId="9" fontId="8" fillId="0" borderId="0" xfId="3" applyFont="1" applyBorder="1" applyAlignment="1" applyProtection="1">
      <alignment horizontal="center" vertical="center"/>
      <protection locked="0"/>
    </xf>
    <xf numFmtId="0" fontId="10" fillId="7" borderId="20" xfId="0" applyFont="1" applyFill="1" applyBorder="1" applyAlignment="1">
      <alignment horizontal="center" vertical="center"/>
    </xf>
    <xf numFmtId="0" fontId="13" fillId="7" borderId="21" xfId="0" applyFont="1" applyFill="1" applyBorder="1" applyAlignment="1"/>
    <xf numFmtId="0" fontId="8" fillId="7" borderId="21" xfId="0" applyFont="1" applyFill="1" applyBorder="1" applyAlignment="1"/>
    <xf numFmtId="167" fontId="7" fillId="7" borderId="21" xfId="0" applyNumberFormat="1" applyFont="1" applyFill="1" applyBorder="1" applyAlignment="1">
      <alignment vertical="center"/>
    </xf>
    <xf numFmtId="10" fontId="13" fillId="7" borderId="21" xfId="0" applyNumberFormat="1" applyFont="1" applyFill="1" applyBorder="1" applyAlignment="1">
      <alignment horizontal="center" vertical="center"/>
    </xf>
    <xf numFmtId="167" fontId="13" fillId="7" borderId="22" xfId="0" applyNumberFormat="1" applyFont="1" applyFill="1" applyBorder="1" applyAlignment="1">
      <alignment vertical="center"/>
    </xf>
    <xf numFmtId="0" fontId="7" fillId="0" borderId="0" xfId="0" applyFont="1" applyFill="1" applyBorder="1" applyAlignment="1">
      <alignment horizontal="left" wrapText="1"/>
    </xf>
    <xf numFmtId="10" fontId="8" fillId="0" borderId="0" xfId="0" applyNumberFormat="1" applyFont="1" applyFill="1" applyBorder="1" applyAlignment="1" applyProtection="1">
      <alignment horizontal="center" vertical="center"/>
      <protection locked="0"/>
    </xf>
    <xf numFmtId="0" fontId="0" fillId="0" borderId="5" xfId="0" applyBorder="1"/>
    <xf numFmtId="44" fontId="0" fillId="0" borderId="0" xfId="2" applyFont="1"/>
    <xf numFmtId="0" fontId="8" fillId="10" borderId="5" xfId="0" applyFont="1" applyFill="1" applyBorder="1" applyAlignment="1">
      <alignment horizontal="center" vertical="center"/>
    </xf>
    <xf numFmtId="0" fontId="7" fillId="10" borderId="0" xfId="0" applyFont="1" applyFill="1" applyBorder="1" applyAlignment="1"/>
    <xf numFmtId="0" fontId="7" fillId="10" borderId="0" xfId="0" applyFont="1" applyFill="1" applyBorder="1" applyAlignment="1">
      <alignment horizontal="left" wrapText="1"/>
    </xf>
    <xf numFmtId="10" fontId="7" fillId="10" borderId="0" xfId="0" applyNumberFormat="1" applyFont="1" applyFill="1" applyBorder="1" applyAlignment="1">
      <alignment horizontal="center" vertical="center"/>
    </xf>
    <xf numFmtId="167" fontId="7" fillId="10" borderId="6" xfId="0" applyNumberFormat="1" applyFont="1" applyFill="1" applyBorder="1" applyAlignment="1">
      <alignment vertical="center"/>
    </xf>
    <xf numFmtId="0" fontId="10" fillId="11" borderId="17" xfId="0" applyFont="1" applyFill="1" applyBorder="1" applyAlignment="1">
      <alignment horizontal="center" vertical="center"/>
    </xf>
    <xf numFmtId="0" fontId="13" fillId="11" borderId="18" xfId="0" applyFont="1" applyFill="1" applyBorder="1" applyAlignment="1"/>
    <xf numFmtId="0" fontId="8" fillId="11" borderId="18" xfId="0" applyFont="1" applyFill="1" applyBorder="1" applyAlignment="1"/>
    <xf numFmtId="167" fontId="7" fillId="11" borderId="18" xfId="0" applyNumberFormat="1" applyFont="1" applyFill="1" applyBorder="1" applyAlignment="1">
      <alignment vertical="center"/>
    </xf>
    <xf numFmtId="10" fontId="13" fillId="11" borderId="18" xfId="0" applyNumberFormat="1" applyFont="1" applyFill="1" applyBorder="1" applyAlignment="1">
      <alignment horizontal="center" vertical="center"/>
    </xf>
    <xf numFmtId="167" fontId="13" fillId="11" borderId="19" xfId="0" applyNumberFormat="1" applyFont="1" applyFill="1" applyBorder="1" applyAlignment="1">
      <alignment vertical="center"/>
    </xf>
    <xf numFmtId="167" fontId="8" fillId="0" borderId="0" xfId="0" applyNumberFormat="1" applyFont="1" applyBorder="1" applyAlignment="1">
      <alignment horizontal="center" vertical="center"/>
    </xf>
    <xf numFmtId="167" fontId="8" fillId="0" borderId="0" xfId="0" applyNumberFormat="1" applyFont="1" applyBorder="1" applyAlignment="1"/>
    <xf numFmtId="167" fontId="8" fillId="0" borderId="23" xfId="0" applyNumberFormat="1" applyFont="1" applyBorder="1" applyAlignment="1"/>
    <xf numFmtId="0" fontId="12" fillId="0" borderId="5" xfId="0" applyFont="1" applyBorder="1" applyAlignment="1">
      <alignment horizontal="center" vertical="center"/>
    </xf>
    <xf numFmtId="0" fontId="8" fillId="0" borderId="0" xfId="0" applyFont="1" applyFill="1" applyBorder="1" applyAlignment="1">
      <alignment horizontal="left"/>
    </xf>
    <xf numFmtId="10" fontId="9" fillId="0" borderId="0" xfId="0" applyNumberFormat="1" applyFont="1" applyFill="1" applyBorder="1" applyAlignment="1" applyProtection="1">
      <alignment horizontal="center" vertical="center"/>
      <protection locked="0"/>
    </xf>
    <xf numFmtId="0" fontId="28" fillId="0" borderId="0" xfId="0" applyFont="1"/>
    <xf numFmtId="0" fontId="7" fillId="0" borderId="0" xfId="0" applyFont="1" applyFill="1" applyAlignment="1"/>
    <xf numFmtId="0" fontId="21" fillId="0" borderId="0" xfId="0" applyFont="1" applyBorder="1" applyAlignment="1">
      <alignment horizontal="center"/>
    </xf>
    <xf numFmtId="10" fontId="9"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10" fontId="17" fillId="0" borderId="0" xfId="0" applyNumberFormat="1" applyFont="1" applyFill="1" applyBorder="1" applyAlignment="1">
      <alignment horizontal="center" vertical="center"/>
    </xf>
    <xf numFmtId="168" fontId="0" fillId="0" borderId="0" xfId="0" applyNumberFormat="1"/>
    <xf numFmtId="0" fontId="6" fillId="12" borderId="2" xfId="0" applyFont="1" applyFill="1" applyBorder="1" applyAlignment="1">
      <alignment horizontal="center" vertical="center"/>
    </xf>
    <xf numFmtId="0" fontId="12" fillId="13" borderId="5" xfId="0" applyFont="1" applyFill="1" applyBorder="1" applyAlignment="1">
      <alignment horizontal="center" vertical="center"/>
    </xf>
    <xf numFmtId="0" fontId="8" fillId="13" borderId="0" xfId="0" applyFont="1" applyFill="1" applyBorder="1" applyAlignment="1"/>
    <xf numFmtId="167" fontId="7" fillId="13" borderId="0" xfId="0" applyNumberFormat="1" applyFont="1" applyFill="1" applyBorder="1" applyAlignment="1">
      <alignment vertical="center"/>
    </xf>
    <xf numFmtId="10" fontId="7" fillId="13" borderId="0" xfId="0" applyNumberFormat="1" applyFont="1" applyFill="1" applyBorder="1" applyAlignment="1">
      <alignment horizontal="center" vertical="center"/>
    </xf>
    <xf numFmtId="167" fontId="7" fillId="13" borderId="6" xfId="0" applyNumberFormat="1" applyFont="1" applyFill="1" applyBorder="1" applyAlignment="1">
      <alignment vertical="center"/>
    </xf>
    <xf numFmtId="0" fontId="29" fillId="13" borderId="0" xfId="0" applyFont="1" applyFill="1" applyBorder="1" applyAlignment="1"/>
    <xf numFmtId="167" fontId="30" fillId="13" borderId="0" xfId="0" applyNumberFormat="1" applyFont="1" applyFill="1" applyBorder="1" applyAlignment="1">
      <alignment vertical="center"/>
    </xf>
    <xf numFmtId="10" fontId="30" fillId="13" borderId="0" xfId="0" applyNumberFormat="1" applyFont="1" applyFill="1" applyBorder="1" applyAlignment="1">
      <alignment horizontal="center" vertical="center"/>
    </xf>
    <xf numFmtId="167" fontId="30" fillId="13" borderId="6" xfId="0" applyNumberFormat="1" applyFont="1" applyFill="1" applyBorder="1" applyAlignment="1">
      <alignment vertical="center"/>
    </xf>
    <xf numFmtId="43" fontId="0" fillId="0" borderId="0" xfId="0" applyNumberFormat="1"/>
    <xf numFmtId="167" fontId="7" fillId="13" borderId="0" xfId="0" applyNumberFormat="1"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xf>
    <xf numFmtId="166" fontId="13" fillId="7" borderId="19" xfId="0" applyNumberFormat="1" applyFont="1" applyFill="1" applyBorder="1" applyAlignment="1"/>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166" fontId="13" fillId="0" borderId="0" xfId="0" applyNumberFormat="1" applyFont="1" applyFill="1" applyBorder="1" applyAlignment="1"/>
    <xf numFmtId="0" fontId="8" fillId="13" borderId="5" xfId="0" applyFont="1" applyFill="1" applyBorder="1" applyAlignment="1">
      <alignment horizontal="center" vertical="center"/>
    </xf>
    <xf numFmtId="0" fontId="12" fillId="13" borderId="0" xfId="0" applyFont="1" applyFill="1" applyBorder="1" applyAlignment="1">
      <alignment vertical="center"/>
    </xf>
    <xf numFmtId="0" fontId="12" fillId="13" borderId="0" xfId="0" applyFont="1" applyFill="1" applyBorder="1" applyAlignment="1">
      <alignment horizontal="center" vertical="center" wrapText="1"/>
    </xf>
    <xf numFmtId="10" fontId="12" fillId="13" borderId="0" xfId="0" applyNumberFormat="1" applyFont="1" applyFill="1" applyBorder="1" applyAlignment="1">
      <alignment horizontal="center" vertical="center" wrapText="1"/>
    </xf>
    <xf numFmtId="4" fontId="12" fillId="13" borderId="6" xfId="0" applyNumberFormat="1" applyFont="1" applyFill="1" applyBorder="1" applyAlignment="1">
      <alignment horizontal="center" vertical="center" wrapText="1"/>
    </xf>
    <xf numFmtId="0" fontId="13" fillId="13" borderId="0" xfId="0" applyFont="1" applyFill="1" applyBorder="1" applyAlignment="1">
      <alignment horizontal="center" vertical="center"/>
    </xf>
    <xf numFmtId="0" fontId="13" fillId="13" borderId="0" xfId="0" applyFont="1" applyFill="1" applyBorder="1" applyAlignment="1">
      <alignment horizontal="center" vertical="center" wrapText="1"/>
    </xf>
    <xf numFmtId="10" fontId="13" fillId="13" borderId="0" xfId="0" applyNumberFormat="1" applyFont="1" applyFill="1" applyBorder="1" applyAlignment="1">
      <alignment horizontal="center" vertical="center" wrapText="1"/>
    </xf>
    <xf numFmtId="4" fontId="13" fillId="13" borderId="6" xfId="0" applyNumberFormat="1" applyFont="1" applyFill="1" applyBorder="1" applyAlignment="1">
      <alignment horizontal="center" vertical="center"/>
    </xf>
    <xf numFmtId="0" fontId="7" fillId="13" borderId="5" xfId="0" applyFont="1" applyFill="1" applyBorder="1" applyAlignment="1">
      <alignment horizontal="center" vertical="center"/>
    </xf>
    <xf numFmtId="0" fontId="7" fillId="13" borderId="0" xfId="0" applyFont="1" applyFill="1" applyBorder="1" applyAlignment="1">
      <alignment vertical="center" wrapText="1"/>
    </xf>
    <xf numFmtId="168" fontId="7" fillId="13" borderId="0" xfId="0" applyNumberFormat="1" applyFont="1" applyFill="1" applyBorder="1" applyAlignment="1">
      <alignment horizontal="center" vertical="center"/>
    </xf>
    <xf numFmtId="0" fontId="31" fillId="13" borderId="24" xfId="0" applyFont="1" applyFill="1" applyBorder="1" applyAlignment="1" applyProtection="1">
      <alignment horizontal="center" vertical="center"/>
      <protection locked="0"/>
    </xf>
    <xf numFmtId="0" fontId="8" fillId="13" borderId="7" xfId="0" applyFont="1" applyFill="1" applyBorder="1" applyAlignment="1">
      <alignment horizontal="center" vertical="center"/>
    </xf>
    <xf numFmtId="0" fontId="13" fillId="13" borderId="8" xfId="0" applyFont="1" applyFill="1" applyBorder="1" applyAlignment="1">
      <alignment vertical="center"/>
    </xf>
    <xf numFmtId="0" fontId="7" fillId="13" borderId="8" xfId="0" applyFont="1" applyFill="1" applyBorder="1" applyAlignment="1">
      <alignment vertical="center"/>
    </xf>
    <xf numFmtId="168" fontId="7" fillId="13" borderId="9" xfId="0" applyNumberFormat="1" applyFont="1" applyFill="1" applyBorder="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12" fillId="0" borderId="0" xfId="0" applyFont="1" applyAlignment="1"/>
    <xf numFmtId="0" fontId="12" fillId="13" borderId="5" xfId="0" applyFont="1" applyFill="1" applyBorder="1" applyAlignment="1">
      <alignment horizontal="center" vertical="center" wrapText="1"/>
    </xf>
    <xf numFmtId="0" fontId="12" fillId="13" borderId="0" xfId="0" applyFont="1" applyFill="1" applyBorder="1" applyAlignment="1">
      <alignment wrapText="1"/>
    </xf>
    <xf numFmtId="168" fontId="12" fillId="13" borderId="6" xfId="0" applyNumberFormat="1" applyFont="1" applyFill="1" applyBorder="1" applyAlignment="1">
      <alignment horizontal="center" vertical="center"/>
    </xf>
    <xf numFmtId="0" fontId="8" fillId="13" borderId="5" xfId="0" applyFont="1" applyFill="1" applyBorder="1" applyAlignment="1">
      <alignment horizontal="center" vertical="center" wrapText="1"/>
    </xf>
    <xf numFmtId="0" fontId="8" fillId="13" borderId="0" xfId="0" applyFont="1" applyFill="1" applyBorder="1" applyAlignment="1">
      <alignment wrapText="1"/>
    </xf>
    <xf numFmtId="0" fontId="8" fillId="13" borderId="0" xfId="0" applyFont="1" applyFill="1" applyBorder="1" applyAlignment="1">
      <alignment vertical="center"/>
    </xf>
    <xf numFmtId="0" fontId="8" fillId="13" borderId="7" xfId="0" applyFont="1" applyFill="1" applyBorder="1" applyAlignment="1">
      <alignment horizontal="center" vertical="center" wrapText="1"/>
    </xf>
    <xf numFmtId="0" fontId="8" fillId="13" borderId="8" xfId="0" applyFont="1" applyFill="1" applyBorder="1" applyAlignment="1">
      <alignment horizontal="left" vertical="center"/>
    </xf>
    <xf numFmtId="0" fontId="8" fillId="13" borderId="8" xfId="0" applyFont="1" applyFill="1" applyBorder="1" applyAlignment="1">
      <alignment wrapText="1"/>
    </xf>
    <xf numFmtId="0" fontId="8" fillId="13" borderId="8" xfId="0" applyFont="1" applyFill="1" applyBorder="1" applyAlignment="1">
      <alignment vertical="center"/>
    </xf>
    <xf numFmtId="168" fontId="12" fillId="13" borderId="9" xfId="0" applyNumberFormat="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xf numFmtId="167" fontId="8" fillId="0" borderId="6" xfId="0" applyNumberFormat="1" applyFont="1" applyBorder="1" applyAlignment="1" applyProtection="1">
      <alignment vertical="center"/>
      <protection locked="0"/>
    </xf>
    <xf numFmtId="0" fontId="7" fillId="7" borderId="17" xfId="0" applyFont="1" applyFill="1" applyBorder="1" applyAlignment="1">
      <alignment horizontal="center" vertical="center"/>
    </xf>
    <xf numFmtId="0" fontId="12" fillId="7" borderId="18" xfId="0" applyFont="1" applyFill="1" applyBorder="1" applyAlignment="1"/>
    <xf numFmtId="168" fontId="7" fillId="7" borderId="18" xfId="0" applyNumberFormat="1" applyFont="1" applyFill="1" applyBorder="1" applyAlignment="1"/>
    <xf numFmtId="168" fontId="13" fillId="7" borderId="19" xfId="0" applyNumberFormat="1" applyFont="1" applyFill="1" applyBorder="1" applyAlignment="1"/>
    <xf numFmtId="0" fontId="12" fillId="7" borderId="21" xfId="0" applyFont="1" applyFill="1" applyBorder="1" applyAlignment="1"/>
    <xf numFmtId="167" fontId="13" fillId="7" borderId="21" xfId="0" applyNumberFormat="1" applyFont="1" applyFill="1" applyBorder="1" applyAlignment="1">
      <alignment vertical="center"/>
    </xf>
    <xf numFmtId="0" fontId="13" fillId="0" borderId="25" xfId="0" applyFont="1" applyBorder="1" applyAlignment="1">
      <alignment horizontal="center"/>
    </xf>
    <xf numFmtId="0" fontId="13" fillId="0" borderId="14" xfId="0" applyFont="1" applyBorder="1" applyAlignment="1">
      <alignment horizontal="center"/>
    </xf>
    <xf numFmtId="170" fontId="7" fillId="13" borderId="6" xfId="0" applyNumberFormat="1" applyFont="1" applyFill="1" applyBorder="1" applyAlignment="1">
      <alignment vertical="center"/>
    </xf>
    <xf numFmtId="10" fontId="7" fillId="7" borderId="18" xfId="3" applyNumberFormat="1" applyFont="1" applyFill="1" applyBorder="1" applyAlignment="1">
      <alignment horizontal="center"/>
    </xf>
    <xf numFmtId="10" fontId="8" fillId="0" borderId="0" xfId="3" applyNumberFormat="1" applyFont="1" applyBorder="1" applyAlignment="1" applyProtection="1">
      <alignment horizontal="center" vertical="center"/>
      <protection locked="0"/>
    </xf>
    <xf numFmtId="10" fontId="17" fillId="0" borderId="0" xfId="0" applyNumberFormat="1" applyFont="1"/>
    <xf numFmtId="10" fontId="9" fillId="0" borderId="0" xfId="0" applyNumberFormat="1" applyFont="1" applyBorder="1" applyAlignment="1">
      <alignment horizontal="center" vertical="center"/>
    </xf>
    <xf numFmtId="10" fontId="9" fillId="0" borderId="0" xfId="0" applyNumberFormat="1" applyFont="1" applyBorder="1" applyAlignment="1" applyProtection="1">
      <alignment horizontal="center" vertical="center"/>
      <protection locked="0"/>
    </xf>
    <xf numFmtId="167" fontId="9" fillId="0" borderId="6" xfId="0" applyNumberFormat="1" applyFont="1" applyBorder="1" applyAlignment="1"/>
    <xf numFmtId="1" fontId="31" fillId="13" borderId="0" xfId="0" applyNumberFormat="1" applyFont="1" applyFill="1" applyBorder="1" applyAlignment="1" applyProtection="1">
      <alignment horizontal="center" vertical="center"/>
      <protection locked="0"/>
    </xf>
    <xf numFmtId="0" fontId="31" fillId="0" borderId="0" xfId="0" applyFont="1" applyAlignment="1">
      <alignment horizontal="center" vertical="center"/>
    </xf>
    <xf numFmtId="0" fontId="31" fillId="0" borderId="0" xfId="0" applyFont="1" applyAlignment="1"/>
    <xf numFmtId="44" fontId="9" fillId="0" borderId="6" xfId="2" applyFont="1" applyBorder="1" applyAlignment="1" applyProtection="1">
      <protection locked="0"/>
    </xf>
    <xf numFmtId="167" fontId="9" fillId="0" borderId="6" xfId="0" applyNumberFormat="1" applyFont="1" applyBorder="1" applyAlignment="1" applyProtection="1">
      <protection locked="0"/>
    </xf>
    <xf numFmtId="171" fontId="41" fillId="14" borderId="14" xfId="6" applyFont="1" applyFill="1" applyBorder="1" applyAlignment="1" applyProtection="1">
      <alignment horizontal="center" vertical="center" wrapText="1"/>
    </xf>
    <xf numFmtId="49" fontId="0" fillId="0" borderId="14" xfId="0" applyNumberFormat="1" applyBorder="1" applyAlignment="1">
      <alignment horizontal="center"/>
    </xf>
    <xf numFmtId="171" fontId="37" fillId="0" borderId="14" xfId="6" applyFont="1" applyFill="1" applyBorder="1" applyAlignment="1" applyProtection="1">
      <alignment vertical="center" wrapText="1"/>
    </xf>
    <xf numFmtId="175" fontId="37" fillId="0" borderId="14" xfId="8" applyNumberFormat="1" applyFont="1" applyFill="1" applyBorder="1" applyAlignment="1" applyProtection="1">
      <alignment horizontal="center" vertical="center" wrapText="1"/>
    </xf>
    <xf numFmtId="173" fontId="37" fillId="0" borderId="14" xfId="9" applyNumberFormat="1" applyFont="1" applyFill="1" applyBorder="1" applyAlignment="1" applyProtection="1">
      <alignment horizontal="right" vertical="center" wrapText="1"/>
      <protection locked="0"/>
    </xf>
    <xf numFmtId="171" fontId="42" fillId="14" borderId="14" xfId="6" applyFont="1" applyFill="1" applyBorder="1" applyAlignment="1" applyProtection="1">
      <alignment horizontal="center" vertical="center" wrapText="1"/>
    </xf>
    <xf numFmtId="0" fontId="42" fillId="14" borderId="14" xfId="0" applyFont="1" applyFill="1" applyBorder="1" applyAlignment="1">
      <alignment horizontal="center" vertical="center"/>
    </xf>
    <xf numFmtId="49" fontId="37" fillId="0" borderId="14" xfId="6" applyNumberFormat="1" applyFont="1" applyFill="1" applyBorder="1" applyAlignment="1" applyProtection="1">
      <alignment horizontal="center" vertical="center" wrapText="1"/>
    </xf>
    <xf numFmtId="164" fontId="39" fillId="14" borderId="14" xfId="2" applyNumberFormat="1" applyFont="1" applyFill="1" applyBorder="1" applyAlignment="1" applyProtection="1">
      <alignment horizontal="left" vertical="center" wrapText="1"/>
    </xf>
    <xf numFmtId="164" fontId="39" fillId="14" borderId="14" xfId="0" applyNumberFormat="1" applyFont="1" applyFill="1" applyBorder="1" applyAlignment="1">
      <alignment horizontal="left"/>
    </xf>
    <xf numFmtId="0" fontId="37" fillId="0" borderId="0" xfId="0" applyFont="1"/>
    <xf numFmtId="171" fontId="39" fillId="14" borderId="27" xfId="6" applyFont="1" applyFill="1" applyBorder="1" applyAlignment="1" applyProtection="1">
      <alignment horizontal="center" vertical="center" wrapText="1"/>
    </xf>
    <xf numFmtId="0" fontId="39" fillId="14" borderId="0" xfId="0" applyFont="1" applyFill="1" applyAlignment="1">
      <alignment horizontal="center" vertical="center"/>
    </xf>
    <xf numFmtId="49" fontId="37" fillId="0" borderId="14" xfId="0" applyNumberFormat="1" applyFont="1" applyBorder="1" applyAlignment="1">
      <alignment horizontal="center"/>
    </xf>
    <xf numFmtId="0" fontId="27" fillId="0" borderId="30" xfId="0" applyFont="1" applyBorder="1" applyAlignment="1">
      <alignment vertical="center" wrapText="1"/>
    </xf>
    <xf numFmtId="0" fontId="37" fillId="0" borderId="30" xfId="0" applyFont="1" applyBorder="1" applyAlignment="1">
      <alignment horizontal="left" vertical="center" wrapText="1"/>
    </xf>
    <xf numFmtId="164" fontId="39" fillId="14" borderId="0" xfId="2" applyNumberFormat="1" applyFont="1" applyFill="1" applyBorder="1" applyAlignment="1" applyProtection="1">
      <alignment horizontal="left" vertical="center" wrapText="1"/>
    </xf>
    <xf numFmtId="164" fontId="39" fillId="14" borderId="35" xfId="2" applyNumberFormat="1" applyFont="1" applyFill="1" applyBorder="1" applyAlignment="1" applyProtection="1">
      <alignment horizontal="left" vertical="center" wrapText="1"/>
    </xf>
    <xf numFmtId="0" fontId="27" fillId="0" borderId="14" xfId="0" applyFont="1" applyBorder="1" applyAlignment="1">
      <alignment vertical="center" wrapText="1"/>
    </xf>
    <xf numFmtId="49" fontId="27" fillId="0" borderId="14" xfId="0" applyNumberFormat="1" applyFont="1" applyBorder="1" applyAlignment="1">
      <alignment horizontal="center" vertical="center" wrapText="1"/>
    </xf>
    <xf numFmtId="0" fontId="27" fillId="0" borderId="14" xfId="0" applyFont="1" applyBorder="1" applyAlignment="1">
      <alignment horizontal="center" vertical="center" wrapText="1"/>
    </xf>
    <xf numFmtId="0" fontId="37" fillId="0" borderId="14" xfId="0" applyFont="1" applyBorder="1"/>
    <xf numFmtId="171" fontId="22" fillId="14" borderId="26" xfId="6" applyFont="1" applyFill="1" applyBorder="1" applyAlignment="1" applyProtection="1">
      <alignment horizontal="center" vertical="center" wrapText="1"/>
    </xf>
    <xf numFmtId="171" fontId="22" fillId="14" borderId="33" xfId="6" applyFont="1" applyFill="1" applyBorder="1" applyAlignment="1" applyProtection="1">
      <alignment horizontal="center" vertical="center" wrapText="1"/>
    </xf>
    <xf numFmtId="171" fontId="22" fillId="14" borderId="34" xfId="6" applyFont="1" applyFill="1" applyBorder="1" applyAlignment="1" applyProtection="1">
      <alignment horizontal="center" vertical="center" wrapText="1"/>
    </xf>
    <xf numFmtId="49" fontId="27" fillId="0" borderId="7" xfId="0" applyNumberFormat="1" applyFont="1" applyBorder="1" applyAlignment="1">
      <alignment horizontal="center" vertical="center" wrapText="1"/>
    </xf>
    <xf numFmtId="0" fontId="39" fillId="0" borderId="0" xfId="0" applyFont="1"/>
    <xf numFmtId="49" fontId="37" fillId="0" borderId="28" xfId="0" applyNumberFormat="1" applyFont="1" applyBorder="1" applyAlignment="1">
      <alignment horizontal="center"/>
    </xf>
    <xf numFmtId="49" fontId="37" fillId="0" borderId="36" xfId="0" applyNumberFormat="1" applyFont="1" applyBorder="1" applyAlignment="1">
      <alignment horizontal="center"/>
    </xf>
    <xf numFmtId="171" fontId="39" fillId="14" borderId="37" xfId="6" applyFont="1" applyFill="1" applyBorder="1" applyAlignment="1" applyProtection="1">
      <alignment horizontal="center" vertical="center" wrapText="1"/>
    </xf>
    <xf numFmtId="0" fontId="37" fillId="0" borderId="14" xfId="0" applyFont="1" applyBorder="1" applyAlignment="1">
      <alignment horizontal="left" vertical="center" wrapText="1"/>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49" fontId="7" fillId="0" borderId="5" xfId="0" applyNumberFormat="1" applyFont="1" applyBorder="1" applyAlignment="1">
      <alignment horizontal="center" vertical="center"/>
    </xf>
    <xf numFmtId="0" fontId="27" fillId="0" borderId="14" xfId="0" applyFont="1" applyBorder="1" applyAlignment="1">
      <alignment horizontal="center" vertical="center" wrapText="1"/>
    </xf>
    <xf numFmtId="0" fontId="9" fillId="3" borderId="0" xfId="0" applyFont="1" applyFill="1" applyBorder="1" applyAlignment="1">
      <alignment horizontal="left" vertical="top" wrapText="1"/>
    </xf>
    <xf numFmtId="0" fontId="48" fillId="6" borderId="10" xfId="0" applyFont="1" applyFill="1" applyBorder="1" applyAlignment="1">
      <alignment horizontal="center"/>
    </xf>
    <xf numFmtId="167" fontId="9" fillId="0" borderId="6" xfId="0" applyNumberFormat="1" applyFont="1" applyBorder="1" applyAlignment="1" applyProtection="1"/>
    <xf numFmtId="0" fontId="7" fillId="6" borderId="10" xfId="0" applyFont="1" applyFill="1" applyBorder="1" applyAlignment="1"/>
    <xf numFmtId="44" fontId="49" fillId="6" borderId="10" xfId="2" applyFont="1" applyFill="1" applyBorder="1" applyAlignment="1">
      <alignment horizontal="center"/>
    </xf>
    <xf numFmtId="0" fontId="49" fillId="6" borderId="10" xfId="0" applyFont="1" applyFill="1" applyBorder="1" applyAlignment="1">
      <alignment horizontal="center"/>
    </xf>
    <xf numFmtId="10" fontId="9" fillId="0" borderId="0" xfId="3" applyNumberFormat="1" applyFont="1" applyBorder="1" applyAlignment="1">
      <alignment horizontal="center"/>
    </xf>
    <xf numFmtId="3" fontId="8" fillId="0" borderId="0" xfId="0" applyNumberFormat="1" applyFont="1" applyFill="1" applyBorder="1" applyAlignment="1">
      <alignment horizontal="left" vertical="center"/>
    </xf>
    <xf numFmtId="44" fontId="28" fillId="0" borderId="0" xfId="1" applyNumberFormat="1" applyFont="1" applyBorder="1" applyAlignment="1">
      <alignment horizontal="right" vertical="center"/>
    </xf>
    <xf numFmtId="10" fontId="25" fillId="0" borderId="0" xfId="0" applyNumberFormat="1" applyFont="1" applyBorder="1" applyAlignment="1">
      <alignment horizontal="center" vertical="center"/>
    </xf>
    <xf numFmtId="0" fontId="8" fillId="0" borderId="0" xfId="0" applyFont="1" applyBorder="1" applyAlignment="1">
      <alignment vertical="justify" wrapText="1"/>
    </xf>
    <xf numFmtId="44" fontId="28" fillId="0" borderId="0" xfId="2" applyFont="1" applyFill="1"/>
    <xf numFmtId="177" fontId="7" fillId="0" borderId="0" xfId="0" applyNumberFormat="1" applyFont="1" applyAlignment="1"/>
    <xf numFmtId="178" fontId="7" fillId="0" borderId="0" xfId="0" applyNumberFormat="1" applyFont="1" applyAlignment="1"/>
    <xf numFmtId="179" fontId="39" fillId="14" borderId="14" xfId="0" applyNumberFormat="1" applyFont="1" applyFill="1" applyBorder="1" applyAlignment="1">
      <alignment horizontal="left"/>
    </xf>
    <xf numFmtId="44" fontId="9" fillId="0" borderId="6" xfId="2" applyNumberFormat="1" applyFont="1" applyBorder="1" applyAlignment="1" applyProtection="1">
      <protection locked="0"/>
    </xf>
    <xf numFmtId="0" fontId="0" fillId="0" borderId="39" xfId="0" applyBorder="1" applyAlignment="1">
      <alignment wrapText="1"/>
    </xf>
    <xf numFmtId="0" fontId="0" fillId="0" borderId="40" xfId="0" applyBorder="1" applyAlignment="1">
      <alignment wrapText="1"/>
    </xf>
    <xf numFmtId="0" fontId="22" fillId="0" borderId="14" xfId="0" applyFont="1" applyBorder="1" applyAlignment="1">
      <alignment horizontal="center" vertical="center" wrapText="1"/>
    </xf>
    <xf numFmtId="44" fontId="27" fillId="0" borderId="14" xfId="0" applyNumberFormat="1" applyFont="1" applyBorder="1" applyAlignment="1">
      <alignment horizontal="center" vertical="center" wrapText="1"/>
    </xf>
    <xf numFmtId="0" fontId="37" fillId="0" borderId="14" xfId="0" applyFont="1" applyBorder="1" applyAlignment="1">
      <alignment horizontal="center" vertical="center" wrapText="1"/>
    </xf>
    <xf numFmtId="0" fontId="22" fillId="14" borderId="14" xfId="0" applyFont="1" applyFill="1" applyBorder="1" applyAlignment="1">
      <alignment horizontal="center" vertical="center" wrapText="1"/>
    </xf>
    <xf numFmtId="44" fontId="22" fillId="14" borderId="14" xfId="0" applyNumberFormat="1" applyFont="1" applyFill="1" applyBorder="1" applyAlignment="1">
      <alignment horizontal="center" vertical="center" wrapText="1"/>
    </xf>
    <xf numFmtId="0" fontId="0" fillId="0" borderId="14" xfId="0" applyFont="1" applyBorder="1" applyAlignment="1">
      <alignment horizontal="center"/>
    </xf>
    <xf numFmtId="0" fontId="43" fillId="0" borderId="14" xfId="0" applyFont="1" applyBorder="1" applyAlignment="1">
      <alignment horizontal="center" vertical="center" wrapText="1"/>
    </xf>
    <xf numFmtId="0" fontId="27" fillId="0" borderId="14"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42"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44" fontId="0" fillId="0" borderId="14" xfId="0" applyNumberFormat="1" applyFont="1" applyBorder="1" applyAlignment="1">
      <alignment horizontal="center"/>
    </xf>
    <xf numFmtId="0" fontId="53" fillId="0" borderId="14" xfId="0" applyFont="1" applyBorder="1" applyAlignment="1">
      <alignment horizontal="left" wrapText="1"/>
    </xf>
    <xf numFmtId="0" fontId="53" fillId="0" borderId="14" xfId="0" applyFont="1" applyBorder="1" applyAlignment="1">
      <alignment horizontal="left"/>
    </xf>
    <xf numFmtId="0" fontId="22" fillId="0" borderId="28"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5" xfId="0" applyFont="1" applyBorder="1" applyAlignment="1">
      <alignment horizontal="center" vertical="center" wrapText="1"/>
    </xf>
    <xf numFmtId="0" fontId="0" fillId="0" borderId="14" xfId="0" applyFont="1" applyBorder="1" applyAlignment="1">
      <alignment horizontal="center"/>
    </xf>
    <xf numFmtId="0" fontId="0" fillId="0" borderId="28" xfId="0" applyFont="1" applyBorder="1" applyAlignment="1">
      <alignment horizontal="center"/>
    </xf>
    <xf numFmtId="0" fontId="0" fillId="0" borderId="21" xfId="0" applyFont="1" applyBorder="1" applyAlignment="1">
      <alignment horizontal="center"/>
    </xf>
    <xf numFmtId="0" fontId="0" fillId="0" borderId="25" xfId="0" applyFont="1" applyBorder="1" applyAlignment="1">
      <alignment horizontal="center"/>
    </xf>
    <xf numFmtId="44" fontId="52" fillId="14" borderId="14" xfId="0" applyNumberFormat="1" applyFont="1" applyFill="1" applyBorder="1" applyAlignment="1">
      <alignment horizontal="center"/>
    </xf>
    <xf numFmtId="44" fontId="55" fillId="0" borderId="14" xfId="0" applyNumberFormat="1" applyFont="1" applyBorder="1" applyAlignment="1">
      <alignment horizontal="center" vertical="center"/>
    </xf>
    <xf numFmtId="0" fontId="52" fillId="14" borderId="14" xfId="0" applyFont="1" applyFill="1" applyBorder="1" applyAlignment="1">
      <alignment horizontal="right"/>
    </xf>
    <xf numFmtId="0" fontId="54" fillId="0" borderId="36" xfId="0" applyFont="1" applyBorder="1" applyAlignment="1">
      <alignment horizontal="center" vertical="top" wrapText="1"/>
    </xf>
    <xf numFmtId="0" fontId="54" fillId="0" borderId="11" xfId="0" applyFont="1" applyBorder="1" applyAlignment="1">
      <alignment horizontal="center" vertical="top"/>
    </xf>
    <xf numFmtId="0" fontId="54" fillId="0" borderId="13" xfId="0" applyFont="1" applyBorder="1" applyAlignment="1">
      <alignment horizontal="center" vertical="top"/>
    </xf>
    <xf numFmtId="0" fontId="54" fillId="0" borderId="31" xfId="0" applyFont="1" applyBorder="1" applyAlignment="1">
      <alignment horizontal="center" vertical="top"/>
    </xf>
    <xf numFmtId="0" fontId="54" fillId="0" borderId="32" xfId="0" applyFont="1" applyBorder="1" applyAlignment="1">
      <alignment horizontal="center" vertical="top"/>
    </xf>
    <xf numFmtId="0" fontId="54" fillId="0" borderId="16" xfId="0" applyFont="1" applyBorder="1" applyAlignment="1">
      <alignment horizontal="center" vertical="top"/>
    </xf>
    <xf numFmtId="44" fontId="55" fillId="14" borderId="14" xfId="0" applyNumberFormat="1" applyFont="1" applyFill="1" applyBorder="1" applyAlignment="1">
      <alignment horizontal="center"/>
    </xf>
    <xf numFmtId="0" fontId="22" fillId="14" borderId="14" xfId="0" applyFont="1" applyFill="1" applyBorder="1" applyAlignment="1">
      <alignment horizontal="right" vertical="center" wrapText="1"/>
    </xf>
    <xf numFmtId="0" fontId="27" fillId="14" borderId="28" xfId="0" applyFont="1" applyFill="1" applyBorder="1" applyAlignment="1">
      <alignment horizontal="left" vertical="center" wrapText="1"/>
    </xf>
    <xf numFmtId="0" fontId="27" fillId="14" borderId="21" xfId="0" applyFont="1" applyFill="1" applyBorder="1" applyAlignment="1">
      <alignment horizontal="left" vertical="center" wrapText="1"/>
    </xf>
    <xf numFmtId="0" fontId="27" fillId="14" borderId="25" xfId="0" applyFont="1" applyFill="1" applyBorder="1" applyAlignment="1">
      <alignment horizontal="left" vertical="center" wrapText="1"/>
    </xf>
    <xf numFmtId="0" fontId="5" fillId="5" borderId="5"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6"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8" fillId="8" borderId="0" xfId="0" applyFont="1" applyFill="1" applyBorder="1" applyAlignment="1">
      <alignment horizontal="left" vertical="center"/>
    </xf>
    <xf numFmtId="0" fontId="0" fillId="0" borderId="0" xfId="0" applyAlignment="1">
      <alignment horizontal="center"/>
    </xf>
    <xf numFmtId="0" fontId="6" fillId="5" borderId="0" xfId="0" applyFont="1" applyFill="1" applyBorder="1" applyAlignment="1">
      <alignment horizontal="center" vertical="center"/>
    </xf>
    <xf numFmtId="0" fontId="6" fillId="5" borderId="6" xfId="0" applyFont="1" applyFill="1" applyBorder="1" applyAlignment="1">
      <alignment horizontal="center" vertical="center"/>
    </xf>
    <xf numFmtId="0" fontId="13" fillId="7" borderId="18" xfId="0" applyFont="1" applyFill="1" applyBorder="1" applyAlignment="1">
      <alignment horizontal="left" vertical="center"/>
    </xf>
    <xf numFmtId="0" fontId="7" fillId="0" borderId="0" xfId="0" applyFont="1" applyBorder="1" applyAlignment="1">
      <alignment horizontal="left" vertical="center"/>
    </xf>
    <xf numFmtId="0" fontId="22" fillId="0" borderId="11" xfId="0" applyFont="1" applyBorder="1" applyAlignment="1">
      <alignment horizontal="left" vertical="top" wrapText="1"/>
    </xf>
    <xf numFmtId="0" fontId="22" fillId="0" borderId="0" xfId="0" applyFont="1" applyAlignment="1">
      <alignment horizontal="left" vertical="top" wrapText="1"/>
    </xf>
    <xf numFmtId="49" fontId="7" fillId="0" borderId="12"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5" xfId="0" applyNumberFormat="1" applyFont="1" applyBorder="1" applyAlignment="1">
      <alignment horizontal="center" vertical="center"/>
    </xf>
    <xf numFmtId="3" fontId="9" fillId="6" borderId="14" xfId="0" applyNumberFormat="1" applyFont="1" applyFill="1" applyBorder="1" applyAlignment="1" applyProtection="1">
      <alignment horizontal="center" vertical="center"/>
      <protection locked="0"/>
    </xf>
    <xf numFmtId="0" fontId="9" fillId="6" borderId="14" xfId="0" applyFont="1" applyFill="1" applyBorder="1" applyAlignment="1" applyProtection="1">
      <alignment horizontal="center" vertical="center"/>
      <protection locked="0"/>
    </xf>
    <xf numFmtId="4" fontId="9" fillId="6" borderId="14" xfId="0" applyNumberFormat="1" applyFont="1" applyFill="1" applyBorder="1" applyAlignment="1" applyProtection="1">
      <alignment horizontal="center" vertical="center"/>
      <protection locked="0"/>
    </xf>
    <xf numFmtId="166" fontId="9" fillId="6" borderId="14" xfId="0" applyNumberFormat="1" applyFont="1" applyFill="1" applyBorder="1" applyAlignment="1" applyProtection="1">
      <alignment horizontal="center" vertical="center"/>
      <protection locked="0"/>
    </xf>
    <xf numFmtId="169" fontId="7" fillId="6" borderId="14" xfId="0" applyNumberFormat="1" applyFont="1" applyFill="1" applyBorder="1" applyAlignment="1">
      <alignment horizontal="center" vertical="center"/>
    </xf>
    <xf numFmtId="0" fontId="6" fillId="12" borderId="3" xfId="0" applyFont="1" applyFill="1" applyBorder="1" applyAlignment="1">
      <alignment horizontal="center" vertical="center"/>
    </xf>
    <xf numFmtId="0" fontId="6" fillId="12" borderId="4" xfId="0" applyFont="1" applyFill="1" applyBorder="1" applyAlignment="1">
      <alignment horizontal="center" vertical="center"/>
    </xf>
    <xf numFmtId="0" fontId="9" fillId="0" borderId="32" xfId="0" applyFont="1" applyBorder="1" applyAlignment="1">
      <alignment horizontal="center" vertical="center" wrapText="1"/>
    </xf>
    <xf numFmtId="0" fontId="16" fillId="5" borderId="3" xfId="0" applyFont="1" applyFill="1" applyBorder="1" applyAlignment="1">
      <alignment horizontal="center"/>
    </xf>
    <xf numFmtId="0" fontId="16" fillId="5" borderId="4" xfId="0" applyFont="1" applyFill="1" applyBorder="1" applyAlignment="1">
      <alignment horizontal="center"/>
    </xf>
    <xf numFmtId="0" fontId="7" fillId="0" borderId="0" xfId="0" applyFont="1" applyFill="1" applyBorder="1" applyAlignment="1">
      <alignment horizontal="left" vertical="center"/>
    </xf>
    <xf numFmtId="0" fontId="20" fillId="9" borderId="0" xfId="0" applyFont="1" applyFill="1" applyBorder="1" applyAlignment="1">
      <alignment horizontal="center" vertical="center"/>
    </xf>
    <xf numFmtId="0" fontId="20" fillId="9" borderId="6" xfId="0" applyFont="1" applyFill="1" applyBorder="1" applyAlignment="1">
      <alignment horizontal="center" vertical="center"/>
    </xf>
    <xf numFmtId="0" fontId="18" fillId="8" borderId="3" xfId="0" applyFont="1" applyFill="1" applyBorder="1" applyAlignment="1">
      <alignment horizontal="left"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6" xfId="0" applyFont="1" applyFill="1" applyBorder="1" applyAlignment="1">
      <alignment horizontal="center" vertical="center"/>
    </xf>
    <xf numFmtId="0" fontId="5" fillId="2" borderId="5" xfId="0" applyFont="1" applyFill="1" applyBorder="1" applyAlignment="1">
      <alignment horizontal="center" vertical="center"/>
    </xf>
    <xf numFmtId="0" fontId="13"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8" fillId="3" borderId="0" xfId="0" applyFont="1" applyFill="1" applyBorder="1" applyAlignment="1">
      <alignment horizontal="left" vertical="center" wrapText="1"/>
    </xf>
    <xf numFmtId="0" fontId="8" fillId="3" borderId="6" xfId="0" applyFont="1" applyFill="1" applyBorder="1" applyAlignment="1">
      <alignment horizontal="left" vertical="center" wrapText="1"/>
    </xf>
    <xf numFmtId="14" fontId="9" fillId="3" borderId="0" xfId="0" applyNumberFormat="1"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31" fillId="3" borderId="0"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4" fillId="0" borderId="0" xfId="0" applyFont="1" applyFill="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9" fillId="3" borderId="0" xfId="0" applyFont="1" applyFill="1" applyBorder="1" applyAlignment="1">
      <alignment horizontal="center" vertical="center"/>
    </xf>
    <xf numFmtId="0" fontId="10" fillId="3" borderId="0"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49" fontId="9" fillId="3" borderId="0" xfId="0" applyNumberFormat="1" applyFont="1" applyFill="1" applyBorder="1" applyAlignment="1">
      <alignment horizontal="center" vertical="center"/>
    </xf>
    <xf numFmtId="171" fontId="39" fillId="14" borderId="28" xfId="6" applyFont="1" applyFill="1" applyBorder="1" applyAlignment="1" applyProtection="1">
      <alignment horizontal="center" vertical="center" wrapText="1"/>
    </xf>
    <xf numFmtId="171" fontId="39" fillId="14" borderId="21" xfId="6" applyFont="1" applyFill="1" applyBorder="1" applyAlignment="1" applyProtection="1">
      <alignment horizontal="center" vertical="center" wrapText="1"/>
    </xf>
    <xf numFmtId="171" fontId="39" fillId="14" borderId="25" xfId="6" applyFont="1" applyFill="1" applyBorder="1" applyAlignment="1" applyProtection="1">
      <alignment horizontal="center" vertical="center" wrapText="1"/>
    </xf>
    <xf numFmtId="171" fontId="39" fillId="14" borderId="29" xfId="6" applyFont="1" applyFill="1" applyBorder="1" applyAlignment="1" applyProtection="1">
      <alignment horizontal="center" vertical="center" wrapText="1"/>
    </xf>
    <xf numFmtId="171" fontId="39" fillId="14" borderId="0" xfId="6" applyFont="1" applyFill="1" applyBorder="1" applyAlignment="1" applyProtection="1">
      <alignment horizontal="center" vertical="center" wrapText="1"/>
    </xf>
    <xf numFmtId="0" fontId="39" fillId="14" borderId="14" xfId="0" applyFont="1" applyFill="1" applyBorder="1" applyAlignment="1">
      <alignment horizontal="center"/>
    </xf>
    <xf numFmtId="0" fontId="39" fillId="14" borderId="28" xfId="0" applyFont="1" applyFill="1" applyBorder="1" applyAlignment="1">
      <alignment horizontal="center"/>
    </xf>
    <xf numFmtId="0" fontId="39" fillId="14" borderId="21" xfId="0" applyFont="1" applyFill="1" applyBorder="1" applyAlignment="1">
      <alignment horizontal="center"/>
    </xf>
    <xf numFmtId="0" fontId="39" fillId="14" borderId="25" xfId="0" applyFont="1" applyFill="1" applyBorder="1" applyAlignment="1">
      <alignment horizontal="center"/>
    </xf>
    <xf numFmtId="171" fontId="39" fillId="14" borderId="31" xfId="6" applyFont="1" applyFill="1" applyBorder="1" applyAlignment="1" applyProtection="1">
      <alignment horizontal="center" vertical="center" wrapText="1"/>
    </xf>
    <xf numFmtId="171" fontId="39" fillId="14" borderId="32" xfId="6" applyFont="1" applyFill="1" applyBorder="1" applyAlignment="1" applyProtection="1">
      <alignment horizontal="center" vertical="center" wrapText="1"/>
    </xf>
    <xf numFmtId="171" fontId="39" fillId="14" borderId="16" xfId="6" applyFont="1" applyFill="1" applyBorder="1" applyAlignment="1" applyProtection="1">
      <alignment horizontal="center" vertical="center" wrapText="1"/>
    </xf>
    <xf numFmtId="0" fontId="27" fillId="0" borderId="38" xfId="0" applyFont="1" applyBorder="1" applyAlignment="1">
      <alignment horizontal="center" vertical="center" wrapText="1"/>
    </xf>
  </cellXfs>
  <cellStyles count="17">
    <cellStyle name="Excel Built-in Currency" xfId="7"/>
    <cellStyle name="Excel Built-in Currency 2" xfId="9"/>
    <cellStyle name="Excel Built-in Normal" xfId="5"/>
    <cellStyle name="Moeda" xfId="2" builtinId="4"/>
    <cellStyle name="Moeda 2" xfId="10"/>
    <cellStyle name="Moeda_Plan1" xfId="8"/>
    <cellStyle name="Normal" xfId="0" builtinId="0"/>
    <cellStyle name="Normal 2" xfId="6"/>
    <cellStyle name="Normal 2 2" xfId="11"/>
    <cellStyle name="Normal 2 3" xfId="12"/>
    <cellStyle name="Normal 2 4" xfId="13"/>
    <cellStyle name="Normal 3" xfId="14"/>
    <cellStyle name="Porcentagem" xfId="3" builtinId="5"/>
    <cellStyle name="Porcentagem 6" xfId="4"/>
    <cellStyle name="Título 5" xfId="15"/>
    <cellStyle name="Vírgula" xfId="1" builtinId="3"/>
    <cellStyle name="Vírgula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0</xdr:col>
      <xdr:colOff>54000</xdr:colOff>
      <xdr:row>0</xdr:row>
      <xdr:rowOff>0</xdr:rowOff>
    </xdr:from>
    <xdr:to>
      <xdr:col>5</xdr:col>
      <xdr:colOff>397841</xdr:colOff>
      <xdr:row>72</xdr:row>
      <xdr:rowOff>4617</xdr:rowOff>
    </xdr:to>
    <xdr:sp macro="" textlink="">
      <xdr:nvSpPr>
        <xdr:cNvPr id="2" name="CustomShape 1" hidden="1">
          <a:extLst>
            <a:ext uri="{FF2B5EF4-FFF2-40B4-BE49-F238E27FC236}">
              <a16:creationId xmlns="" xmlns:a16="http://schemas.microsoft.com/office/drawing/2014/main" id="{FBEFAD32-BD1A-4DDF-A266-3532604B830B}"/>
            </a:ext>
          </a:extLst>
        </xdr:cNvPr>
        <xdr:cNvSpPr/>
      </xdr:nvSpPr>
      <xdr:spPr>
        <a:xfrm>
          <a:off x="54000" y="0"/>
          <a:ext cx="10554641" cy="147842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72</xdr:row>
      <xdr:rowOff>4617</xdr:rowOff>
    </xdr:to>
    <xdr:sp macro="" textlink="">
      <xdr:nvSpPr>
        <xdr:cNvPr id="3" name="CustomShape 1" hidden="1">
          <a:extLst>
            <a:ext uri="{FF2B5EF4-FFF2-40B4-BE49-F238E27FC236}">
              <a16:creationId xmlns="" xmlns:a16="http://schemas.microsoft.com/office/drawing/2014/main" id="{55511349-2A50-4961-B97C-4ACDA882F63B}"/>
            </a:ext>
          </a:extLst>
        </xdr:cNvPr>
        <xdr:cNvSpPr/>
      </xdr:nvSpPr>
      <xdr:spPr>
        <a:xfrm>
          <a:off x="54000" y="0"/>
          <a:ext cx="10554641" cy="147842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199880</xdr:rowOff>
    </xdr:to>
    <xdr:sp macro="" textlink="">
      <xdr:nvSpPr>
        <xdr:cNvPr id="4" name="CustomShape 1" hidden="1">
          <a:extLst>
            <a:ext uri="{FF2B5EF4-FFF2-40B4-BE49-F238E27FC236}">
              <a16:creationId xmlns="" xmlns:a16="http://schemas.microsoft.com/office/drawing/2014/main" id="{FBEFAD32-BD1A-4DDF-A266-3532604B830B}"/>
            </a:ext>
          </a:extLst>
        </xdr:cNvPr>
        <xdr:cNvSpPr/>
      </xdr:nvSpPr>
      <xdr:spPr>
        <a:xfrm>
          <a:off x="54000" y="0"/>
          <a:ext cx="10554641" cy="1477948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199880</xdr:rowOff>
    </xdr:to>
    <xdr:sp macro="" textlink="">
      <xdr:nvSpPr>
        <xdr:cNvPr id="5" name="CustomShape 1" hidden="1">
          <a:extLst>
            <a:ext uri="{FF2B5EF4-FFF2-40B4-BE49-F238E27FC236}">
              <a16:creationId xmlns="" xmlns:a16="http://schemas.microsoft.com/office/drawing/2014/main" id="{55511349-2A50-4961-B97C-4ACDA882F63B}"/>
            </a:ext>
          </a:extLst>
        </xdr:cNvPr>
        <xdr:cNvSpPr/>
      </xdr:nvSpPr>
      <xdr:spPr>
        <a:xfrm>
          <a:off x="54000" y="0"/>
          <a:ext cx="10554641" cy="1477948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195117</xdr:rowOff>
    </xdr:to>
    <xdr:sp macro="" textlink="">
      <xdr:nvSpPr>
        <xdr:cNvPr id="6" name="CustomShape 1" hidden="1">
          <a:extLst>
            <a:ext uri="{FF2B5EF4-FFF2-40B4-BE49-F238E27FC236}">
              <a16:creationId xmlns="" xmlns:a16="http://schemas.microsoft.com/office/drawing/2014/main" id="{FBEFAD32-BD1A-4DDF-A266-3532604B830B}"/>
            </a:ext>
          </a:extLst>
        </xdr:cNvPr>
        <xdr:cNvSpPr/>
      </xdr:nvSpPr>
      <xdr:spPr>
        <a:xfrm>
          <a:off x="54000" y="0"/>
          <a:ext cx="10554641" cy="135650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195117</xdr:rowOff>
    </xdr:to>
    <xdr:sp macro="" textlink="">
      <xdr:nvSpPr>
        <xdr:cNvPr id="7" name="CustomShape 1" hidden="1">
          <a:extLst>
            <a:ext uri="{FF2B5EF4-FFF2-40B4-BE49-F238E27FC236}">
              <a16:creationId xmlns="" xmlns:a16="http://schemas.microsoft.com/office/drawing/2014/main" id="{55511349-2A50-4961-B97C-4ACDA882F63B}"/>
            </a:ext>
          </a:extLst>
        </xdr:cNvPr>
        <xdr:cNvSpPr/>
      </xdr:nvSpPr>
      <xdr:spPr>
        <a:xfrm>
          <a:off x="54000" y="0"/>
          <a:ext cx="10554641" cy="135650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33192</xdr:rowOff>
    </xdr:to>
    <xdr:sp macro="" textlink="">
      <xdr:nvSpPr>
        <xdr:cNvPr id="8" name="CustomShape 1" hidden="1">
          <a:extLst>
            <a:ext uri="{FF2B5EF4-FFF2-40B4-BE49-F238E27FC236}">
              <a16:creationId xmlns="" xmlns:a16="http://schemas.microsoft.com/office/drawing/2014/main" id="{FBEFAD32-BD1A-4DDF-A266-3532604B830B}"/>
            </a:ext>
          </a:extLst>
        </xdr:cNvPr>
        <xdr:cNvSpPr/>
      </xdr:nvSpPr>
      <xdr:spPr>
        <a:xfrm>
          <a:off x="54000" y="0"/>
          <a:ext cx="10554641" cy="146064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33192</xdr:rowOff>
    </xdr:to>
    <xdr:sp macro="" textlink="">
      <xdr:nvSpPr>
        <xdr:cNvPr id="9" name="CustomShape 1" hidden="1">
          <a:extLst>
            <a:ext uri="{FF2B5EF4-FFF2-40B4-BE49-F238E27FC236}">
              <a16:creationId xmlns="" xmlns:a16="http://schemas.microsoft.com/office/drawing/2014/main" id="{55511349-2A50-4961-B97C-4ACDA882F63B}"/>
            </a:ext>
          </a:extLst>
        </xdr:cNvPr>
        <xdr:cNvSpPr/>
      </xdr:nvSpPr>
      <xdr:spPr>
        <a:xfrm>
          <a:off x="54000" y="0"/>
          <a:ext cx="10554641" cy="146064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28430</xdr:rowOff>
    </xdr:to>
    <xdr:sp macro="" textlink="">
      <xdr:nvSpPr>
        <xdr:cNvPr id="10" name="CustomShape 1" hidden="1">
          <a:extLst>
            <a:ext uri="{FF2B5EF4-FFF2-40B4-BE49-F238E27FC236}">
              <a16:creationId xmlns="" xmlns:a16="http://schemas.microsoft.com/office/drawing/2014/main" id="{FBEFAD32-BD1A-4DDF-A266-3532604B830B}"/>
            </a:ext>
          </a:extLst>
        </xdr:cNvPr>
        <xdr:cNvSpPr/>
      </xdr:nvSpPr>
      <xdr:spPr>
        <a:xfrm>
          <a:off x="54000" y="0"/>
          <a:ext cx="10554641" cy="1460168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28430</xdr:rowOff>
    </xdr:to>
    <xdr:sp macro="" textlink="">
      <xdr:nvSpPr>
        <xdr:cNvPr id="11" name="CustomShape 1" hidden="1">
          <a:extLst>
            <a:ext uri="{FF2B5EF4-FFF2-40B4-BE49-F238E27FC236}">
              <a16:creationId xmlns="" xmlns:a16="http://schemas.microsoft.com/office/drawing/2014/main" id="{55511349-2A50-4961-B97C-4ACDA882F63B}"/>
            </a:ext>
          </a:extLst>
        </xdr:cNvPr>
        <xdr:cNvSpPr/>
      </xdr:nvSpPr>
      <xdr:spPr>
        <a:xfrm>
          <a:off x="54000" y="0"/>
          <a:ext cx="10554641" cy="1460168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4617</xdr:rowOff>
    </xdr:to>
    <xdr:sp macro="" textlink="">
      <xdr:nvSpPr>
        <xdr:cNvPr id="12" name="CustomShape 1" hidden="1">
          <a:extLst>
            <a:ext uri="{FF2B5EF4-FFF2-40B4-BE49-F238E27FC236}">
              <a16:creationId xmlns="" xmlns:a16="http://schemas.microsoft.com/office/drawing/2014/main" id="{FBEFAD32-BD1A-4DDF-A266-3532604B830B}"/>
            </a:ext>
          </a:extLst>
        </xdr:cNvPr>
        <xdr:cNvSpPr/>
      </xdr:nvSpPr>
      <xdr:spPr>
        <a:xfrm>
          <a:off x="54000" y="0"/>
          <a:ext cx="10554641" cy="133681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4617</xdr:rowOff>
    </xdr:to>
    <xdr:sp macro="" textlink="">
      <xdr:nvSpPr>
        <xdr:cNvPr id="13" name="CustomShape 1" hidden="1">
          <a:extLst>
            <a:ext uri="{FF2B5EF4-FFF2-40B4-BE49-F238E27FC236}">
              <a16:creationId xmlns="" xmlns:a16="http://schemas.microsoft.com/office/drawing/2014/main" id="{55511349-2A50-4961-B97C-4ACDA882F63B}"/>
            </a:ext>
          </a:extLst>
        </xdr:cNvPr>
        <xdr:cNvSpPr/>
      </xdr:nvSpPr>
      <xdr:spPr>
        <a:xfrm>
          <a:off x="54000" y="0"/>
          <a:ext cx="10554641" cy="133681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oneCellAnchor>
    <xdr:from>
      <xdr:col>0</xdr:col>
      <xdr:colOff>54000</xdr:colOff>
      <xdr:row>0</xdr:row>
      <xdr:rowOff>0</xdr:rowOff>
    </xdr:from>
    <xdr:ext cx="10554641" cy="14777892"/>
    <xdr:sp macro="" textlink="">
      <xdr:nvSpPr>
        <xdr:cNvPr id="14" name="CustomShape 1" hidden="1">
          <a:extLst>
            <a:ext uri="{FF2B5EF4-FFF2-40B4-BE49-F238E27FC236}">
              <a16:creationId xmlns="" xmlns:a16="http://schemas.microsoft.com/office/drawing/2014/main" id="{FBEFAD32-BD1A-4DDF-A266-3532604B830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7892"/>
    <xdr:sp macro="" textlink="">
      <xdr:nvSpPr>
        <xdr:cNvPr id="15" name="CustomShape 1" hidden="1">
          <a:extLst>
            <a:ext uri="{FF2B5EF4-FFF2-40B4-BE49-F238E27FC236}">
              <a16:creationId xmlns="" xmlns:a16="http://schemas.microsoft.com/office/drawing/2014/main" id="{55511349-2A50-4961-B97C-4ACDA882F63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3130"/>
    <xdr:sp macro="" textlink="">
      <xdr:nvSpPr>
        <xdr:cNvPr id="16" name="CustomShape 1" hidden="1">
          <a:extLst>
            <a:ext uri="{FF2B5EF4-FFF2-40B4-BE49-F238E27FC236}">
              <a16:creationId xmlns="" xmlns:a16="http://schemas.microsoft.com/office/drawing/2014/main" id="{FBEFAD32-BD1A-4DDF-A266-3532604B830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3130"/>
    <xdr:sp macro="" textlink="">
      <xdr:nvSpPr>
        <xdr:cNvPr id="17" name="CustomShape 1" hidden="1">
          <a:extLst>
            <a:ext uri="{FF2B5EF4-FFF2-40B4-BE49-F238E27FC236}">
              <a16:creationId xmlns="" xmlns:a16="http://schemas.microsoft.com/office/drawing/2014/main" id="{55511349-2A50-4961-B97C-4ACDA882F63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3558692"/>
    <xdr:sp macro="" textlink="">
      <xdr:nvSpPr>
        <xdr:cNvPr id="18" name="CustomShape 1" hidden="1">
          <a:extLst>
            <a:ext uri="{FF2B5EF4-FFF2-40B4-BE49-F238E27FC236}">
              <a16:creationId xmlns="" xmlns:a16="http://schemas.microsoft.com/office/drawing/2014/main" id="{FBEFAD32-BD1A-4DDF-A266-3532604B830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3558692"/>
    <xdr:sp macro="" textlink="">
      <xdr:nvSpPr>
        <xdr:cNvPr id="19" name="CustomShape 1" hidden="1">
          <a:extLst>
            <a:ext uri="{FF2B5EF4-FFF2-40B4-BE49-F238E27FC236}">
              <a16:creationId xmlns="" xmlns:a16="http://schemas.microsoft.com/office/drawing/2014/main" id="{55511349-2A50-4961-B97C-4ACDA882F63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twoCellAnchor editAs="oneCell">
    <xdr:from>
      <xdr:col>0</xdr:col>
      <xdr:colOff>54000</xdr:colOff>
      <xdr:row>0</xdr:row>
      <xdr:rowOff>0</xdr:rowOff>
    </xdr:from>
    <xdr:to>
      <xdr:col>5</xdr:col>
      <xdr:colOff>394440</xdr:colOff>
      <xdr:row>76</xdr:row>
      <xdr:rowOff>103949</xdr:rowOff>
    </xdr:to>
    <xdr:sp macro="" textlink="">
      <xdr:nvSpPr>
        <xdr:cNvPr id="20" name="CustomShape 1" hidden="1">
          <a:extLst>
            <a:ext uri="{FF2B5EF4-FFF2-40B4-BE49-F238E27FC236}">
              <a16:creationId xmlns="" xmlns:a16="http://schemas.microsoft.com/office/drawing/2014/main" id="{FBEFAD32-BD1A-4DDF-A266-3532604B830B}"/>
            </a:ext>
          </a:extLst>
        </xdr:cNvPr>
        <xdr:cNvSpPr/>
      </xdr:nvSpPr>
      <xdr:spPr>
        <a:xfrm>
          <a:off x="54000" y="0"/>
          <a:ext cx="10551240" cy="15686849"/>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76</xdr:row>
      <xdr:rowOff>103949</xdr:rowOff>
    </xdr:to>
    <xdr:sp macro="" textlink="">
      <xdr:nvSpPr>
        <xdr:cNvPr id="21" name="CustomShape 1" hidden="1">
          <a:extLst>
            <a:ext uri="{FF2B5EF4-FFF2-40B4-BE49-F238E27FC236}">
              <a16:creationId xmlns="" xmlns:a16="http://schemas.microsoft.com/office/drawing/2014/main" id="{55511349-2A50-4961-B97C-4ACDA882F63B}"/>
            </a:ext>
          </a:extLst>
        </xdr:cNvPr>
        <xdr:cNvSpPr/>
      </xdr:nvSpPr>
      <xdr:spPr>
        <a:xfrm>
          <a:off x="54000" y="0"/>
          <a:ext cx="10551240" cy="15686849"/>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76</xdr:row>
      <xdr:rowOff>96805</xdr:rowOff>
    </xdr:to>
    <xdr:sp macro="" textlink="">
      <xdr:nvSpPr>
        <xdr:cNvPr id="22" name="CustomShape 1" hidden="1">
          <a:extLst>
            <a:ext uri="{FF2B5EF4-FFF2-40B4-BE49-F238E27FC236}">
              <a16:creationId xmlns="" xmlns:a16="http://schemas.microsoft.com/office/drawing/2014/main" id="{FBEFAD32-BD1A-4DDF-A266-3532604B830B}"/>
            </a:ext>
          </a:extLst>
        </xdr:cNvPr>
        <xdr:cNvSpPr/>
      </xdr:nvSpPr>
      <xdr:spPr>
        <a:xfrm>
          <a:off x="54000" y="0"/>
          <a:ext cx="10551240" cy="15679705"/>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76</xdr:row>
      <xdr:rowOff>96805</xdr:rowOff>
    </xdr:to>
    <xdr:sp macro="" textlink="">
      <xdr:nvSpPr>
        <xdr:cNvPr id="23" name="CustomShape 1" hidden="1">
          <a:extLst>
            <a:ext uri="{FF2B5EF4-FFF2-40B4-BE49-F238E27FC236}">
              <a16:creationId xmlns="" xmlns:a16="http://schemas.microsoft.com/office/drawing/2014/main" id="{55511349-2A50-4961-B97C-4ACDA882F63B}"/>
            </a:ext>
          </a:extLst>
        </xdr:cNvPr>
        <xdr:cNvSpPr/>
      </xdr:nvSpPr>
      <xdr:spPr>
        <a:xfrm>
          <a:off x="54000" y="0"/>
          <a:ext cx="10551240" cy="15679705"/>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68</xdr:row>
      <xdr:rowOff>190356</xdr:rowOff>
    </xdr:to>
    <xdr:sp macro="" textlink="">
      <xdr:nvSpPr>
        <xdr:cNvPr id="24" name="CustomShape 1" hidden="1">
          <a:extLst>
            <a:ext uri="{FF2B5EF4-FFF2-40B4-BE49-F238E27FC236}">
              <a16:creationId xmlns="" xmlns:a16="http://schemas.microsoft.com/office/drawing/2014/main" id="{FBEFAD32-BD1A-4DDF-A266-3532604B830B}"/>
            </a:ext>
          </a:extLst>
        </xdr:cNvPr>
        <xdr:cNvSpPr/>
      </xdr:nvSpPr>
      <xdr:spPr>
        <a:xfrm>
          <a:off x="54000" y="0"/>
          <a:ext cx="10551240" cy="1416353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68</xdr:row>
      <xdr:rowOff>190356</xdr:rowOff>
    </xdr:to>
    <xdr:sp macro="" textlink="">
      <xdr:nvSpPr>
        <xdr:cNvPr id="25" name="CustomShape 1" hidden="1">
          <a:extLst>
            <a:ext uri="{FF2B5EF4-FFF2-40B4-BE49-F238E27FC236}">
              <a16:creationId xmlns="" xmlns:a16="http://schemas.microsoft.com/office/drawing/2014/main" id="{55511349-2A50-4961-B97C-4ACDA882F63B}"/>
            </a:ext>
          </a:extLst>
        </xdr:cNvPr>
        <xdr:cNvSpPr/>
      </xdr:nvSpPr>
      <xdr:spPr>
        <a:xfrm>
          <a:off x="54000" y="0"/>
          <a:ext cx="10551240" cy="1416353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184911</xdr:rowOff>
    </xdr:to>
    <xdr:sp macro="" textlink="">
      <xdr:nvSpPr>
        <xdr:cNvPr id="26" name="CustomShape 1" hidden="1">
          <a:extLst>
            <a:ext uri="{FF2B5EF4-FFF2-40B4-BE49-F238E27FC236}">
              <a16:creationId xmlns="" xmlns:a16="http://schemas.microsoft.com/office/drawing/2014/main" id="{FBEFAD32-BD1A-4DDF-A266-3532604B830B}"/>
            </a:ext>
          </a:extLst>
        </xdr:cNvPr>
        <xdr:cNvSpPr/>
      </xdr:nvSpPr>
      <xdr:spPr>
        <a:xfrm>
          <a:off x="54000" y="0"/>
          <a:ext cx="10551240" cy="1454861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184911</xdr:rowOff>
    </xdr:to>
    <xdr:sp macro="" textlink="">
      <xdr:nvSpPr>
        <xdr:cNvPr id="27" name="CustomShape 1" hidden="1">
          <a:extLst>
            <a:ext uri="{FF2B5EF4-FFF2-40B4-BE49-F238E27FC236}">
              <a16:creationId xmlns="" xmlns:a16="http://schemas.microsoft.com/office/drawing/2014/main" id="{55511349-2A50-4961-B97C-4ACDA882F63B}"/>
            </a:ext>
          </a:extLst>
        </xdr:cNvPr>
        <xdr:cNvSpPr/>
      </xdr:nvSpPr>
      <xdr:spPr>
        <a:xfrm>
          <a:off x="54000" y="0"/>
          <a:ext cx="10551240" cy="1454861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177767</xdr:rowOff>
    </xdr:to>
    <xdr:sp macro="" textlink="">
      <xdr:nvSpPr>
        <xdr:cNvPr id="28" name="CustomShape 1" hidden="1">
          <a:extLst>
            <a:ext uri="{FF2B5EF4-FFF2-40B4-BE49-F238E27FC236}">
              <a16:creationId xmlns="" xmlns:a16="http://schemas.microsoft.com/office/drawing/2014/main" id="{FBEFAD32-BD1A-4DDF-A266-3532604B830B}"/>
            </a:ext>
          </a:extLst>
        </xdr:cNvPr>
        <xdr:cNvSpPr/>
      </xdr:nvSpPr>
      <xdr:spPr>
        <a:xfrm>
          <a:off x="54000" y="0"/>
          <a:ext cx="10551240" cy="14541467"/>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177767</xdr:rowOff>
    </xdr:to>
    <xdr:sp macro="" textlink="">
      <xdr:nvSpPr>
        <xdr:cNvPr id="29" name="CustomShape 1" hidden="1">
          <a:extLst>
            <a:ext uri="{FF2B5EF4-FFF2-40B4-BE49-F238E27FC236}">
              <a16:creationId xmlns="" xmlns:a16="http://schemas.microsoft.com/office/drawing/2014/main" id="{55511349-2A50-4961-B97C-4ACDA882F63B}"/>
            </a:ext>
          </a:extLst>
        </xdr:cNvPr>
        <xdr:cNvSpPr/>
      </xdr:nvSpPr>
      <xdr:spPr>
        <a:xfrm>
          <a:off x="54000" y="0"/>
          <a:ext cx="10551240" cy="14541467"/>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64</xdr:row>
      <xdr:rowOff>128443</xdr:rowOff>
    </xdr:to>
    <xdr:sp macro="" textlink="">
      <xdr:nvSpPr>
        <xdr:cNvPr id="30" name="CustomShape 1" hidden="1">
          <a:extLst>
            <a:ext uri="{FF2B5EF4-FFF2-40B4-BE49-F238E27FC236}">
              <a16:creationId xmlns="" xmlns:a16="http://schemas.microsoft.com/office/drawing/2014/main" id="{FBEFAD32-BD1A-4DDF-A266-3532604B830B}"/>
            </a:ext>
          </a:extLst>
        </xdr:cNvPr>
        <xdr:cNvSpPr/>
      </xdr:nvSpPr>
      <xdr:spPr>
        <a:xfrm>
          <a:off x="54000" y="0"/>
          <a:ext cx="10551240" cy="13291993"/>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64</xdr:row>
      <xdr:rowOff>128443</xdr:rowOff>
    </xdr:to>
    <xdr:sp macro="" textlink="">
      <xdr:nvSpPr>
        <xdr:cNvPr id="31" name="CustomShape 1" hidden="1">
          <a:extLst>
            <a:ext uri="{FF2B5EF4-FFF2-40B4-BE49-F238E27FC236}">
              <a16:creationId xmlns="" xmlns:a16="http://schemas.microsoft.com/office/drawing/2014/main" id="{55511349-2A50-4961-B97C-4ACDA882F63B}"/>
            </a:ext>
          </a:extLst>
        </xdr:cNvPr>
        <xdr:cNvSpPr/>
      </xdr:nvSpPr>
      <xdr:spPr>
        <a:xfrm>
          <a:off x="54000" y="0"/>
          <a:ext cx="10551240" cy="13291993"/>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54000</xdr:colOff>
      <xdr:row>0</xdr:row>
      <xdr:rowOff>0</xdr:rowOff>
    </xdr:from>
    <xdr:to>
      <xdr:col>5</xdr:col>
      <xdr:colOff>397841</xdr:colOff>
      <xdr:row>72</xdr:row>
      <xdr:rowOff>4617</xdr:rowOff>
    </xdr:to>
    <xdr:sp macro="" textlink="">
      <xdr:nvSpPr>
        <xdr:cNvPr id="2" name="CustomShape 1" hidden="1">
          <a:extLst>
            <a:ext uri="{FF2B5EF4-FFF2-40B4-BE49-F238E27FC236}">
              <a16:creationId xmlns="" xmlns:a16="http://schemas.microsoft.com/office/drawing/2014/main" id="{FBEFAD32-BD1A-4DDF-A266-3532604B830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72</xdr:row>
      <xdr:rowOff>4617</xdr:rowOff>
    </xdr:to>
    <xdr:sp macro="" textlink="">
      <xdr:nvSpPr>
        <xdr:cNvPr id="3" name="CustomShape 1" hidden="1">
          <a:extLst>
            <a:ext uri="{FF2B5EF4-FFF2-40B4-BE49-F238E27FC236}">
              <a16:creationId xmlns="" xmlns:a16="http://schemas.microsoft.com/office/drawing/2014/main" id="{55511349-2A50-4961-B97C-4ACDA882F63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199880</xdr:rowOff>
    </xdr:to>
    <xdr:sp macro="" textlink="">
      <xdr:nvSpPr>
        <xdr:cNvPr id="4" name="CustomShape 1" hidden="1">
          <a:extLst>
            <a:ext uri="{FF2B5EF4-FFF2-40B4-BE49-F238E27FC236}">
              <a16:creationId xmlns="" xmlns:a16="http://schemas.microsoft.com/office/drawing/2014/main" id="{FBEFAD32-BD1A-4DDF-A266-3532604B830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199880</xdr:rowOff>
    </xdr:to>
    <xdr:sp macro="" textlink="">
      <xdr:nvSpPr>
        <xdr:cNvPr id="5" name="CustomShape 1" hidden="1">
          <a:extLst>
            <a:ext uri="{FF2B5EF4-FFF2-40B4-BE49-F238E27FC236}">
              <a16:creationId xmlns="" xmlns:a16="http://schemas.microsoft.com/office/drawing/2014/main" id="{55511349-2A50-4961-B97C-4ACDA882F63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195117</xdr:rowOff>
    </xdr:to>
    <xdr:sp macro="" textlink="">
      <xdr:nvSpPr>
        <xdr:cNvPr id="6" name="CustomShape 1" hidden="1">
          <a:extLst>
            <a:ext uri="{FF2B5EF4-FFF2-40B4-BE49-F238E27FC236}">
              <a16:creationId xmlns="" xmlns:a16="http://schemas.microsoft.com/office/drawing/2014/main" id="{FBEFAD32-BD1A-4DDF-A266-3532604B830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195117</xdr:rowOff>
    </xdr:to>
    <xdr:sp macro="" textlink="">
      <xdr:nvSpPr>
        <xdr:cNvPr id="7" name="CustomShape 1" hidden="1">
          <a:extLst>
            <a:ext uri="{FF2B5EF4-FFF2-40B4-BE49-F238E27FC236}">
              <a16:creationId xmlns="" xmlns:a16="http://schemas.microsoft.com/office/drawing/2014/main" id="{55511349-2A50-4961-B97C-4ACDA882F63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33192</xdr:rowOff>
    </xdr:to>
    <xdr:sp macro="" textlink="">
      <xdr:nvSpPr>
        <xdr:cNvPr id="8" name="CustomShape 1" hidden="1">
          <a:extLst>
            <a:ext uri="{FF2B5EF4-FFF2-40B4-BE49-F238E27FC236}">
              <a16:creationId xmlns="" xmlns:a16="http://schemas.microsoft.com/office/drawing/2014/main" id="{FBEFAD32-BD1A-4DDF-A266-3532604B830B}"/>
            </a:ext>
          </a:extLst>
        </xdr:cNvPr>
        <xdr:cNvSpPr/>
      </xdr:nvSpPr>
      <xdr:spPr>
        <a:xfrm>
          <a:off x="54000" y="0"/>
          <a:ext cx="10554641" cy="146064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33192</xdr:rowOff>
    </xdr:to>
    <xdr:sp macro="" textlink="">
      <xdr:nvSpPr>
        <xdr:cNvPr id="9" name="CustomShape 1" hidden="1">
          <a:extLst>
            <a:ext uri="{FF2B5EF4-FFF2-40B4-BE49-F238E27FC236}">
              <a16:creationId xmlns="" xmlns:a16="http://schemas.microsoft.com/office/drawing/2014/main" id="{55511349-2A50-4961-B97C-4ACDA882F63B}"/>
            </a:ext>
          </a:extLst>
        </xdr:cNvPr>
        <xdr:cNvSpPr/>
      </xdr:nvSpPr>
      <xdr:spPr>
        <a:xfrm>
          <a:off x="54000" y="0"/>
          <a:ext cx="10554641" cy="146064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28430</xdr:rowOff>
    </xdr:to>
    <xdr:sp macro="" textlink="">
      <xdr:nvSpPr>
        <xdr:cNvPr id="10" name="CustomShape 1" hidden="1">
          <a:extLst>
            <a:ext uri="{FF2B5EF4-FFF2-40B4-BE49-F238E27FC236}">
              <a16:creationId xmlns="" xmlns:a16="http://schemas.microsoft.com/office/drawing/2014/main" id="{FBEFAD32-BD1A-4DDF-A266-3532604B830B}"/>
            </a:ext>
          </a:extLst>
        </xdr:cNvPr>
        <xdr:cNvSpPr/>
      </xdr:nvSpPr>
      <xdr:spPr>
        <a:xfrm>
          <a:off x="54000" y="0"/>
          <a:ext cx="10554641" cy="1460168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28430</xdr:rowOff>
    </xdr:to>
    <xdr:sp macro="" textlink="">
      <xdr:nvSpPr>
        <xdr:cNvPr id="11" name="CustomShape 1" hidden="1">
          <a:extLst>
            <a:ext uri="{FF2B5EF4-FFF2-40B4-BE49-F238E27FC236}">
              <a16:creationId xmlns="" xmlns:a16="http://schemas.microsoft.com/office/drawing/2014/main" id="{55511349-2A50-4961-B97C-4ACDA882F63B}"/>
            </a:ext>
          </a:extLst>
        </xdr:cNvPr>
        <xdr:cNvSpPr/>
      </xdr:nvSpPr>
      <xdr:spPr>
        <a:xfrm>
          <a:off x="54000" y="0"/>
          <a:ext cx="10554641" cy="1460168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4617</xdr:rowOff>
    </xdr:to>
    <xdr:sp macro="" textlink="">
      <xdr:nvSpPr>
        <xdr:cNvPr id="12" name="CustomShape 1" hidden="1">
          <a:extLst>
            <a:ext uri="{FF2B5EF4-FFF2-40B4-BE49-F238E27FC236}">
              <a16:creationId xmlns="" xmlns:a16="http://schemas.microsoft.com/office/drawing/2014/main" id="{FBEFAD32-BD1A-4DDF-A266-3532604B830B}"/>
            </a:ext>
          </a:extLst>
        </xdr:cNvPr>
        <xdr:cNvSpPr/>
      </xdr:nvSpPr>
      <xdr:spPr>
        <a:xfrm>
          <a:off x="54000" y="0"/>
          <a:ext cx="10554641" cy="133681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4617</xdr:rowOff>
    </xdr:to>
    <xdr:sp macro="" textlink="">
      <xdr:nvSpPr>
        <xdr:cNvPr id="13" name="CustomShape 1" hidden="1">
          <a:extLst>
            <a:ext uri="{FF2B5EF4-FFF2-40B4-BE49-F238E27FC236}">
              <a16:creationId xmlns="" xmlns:a16="http://schemas.microsoft.com/office/drawing/2014/main" id="{55511349-2A50-4961-B97C-4ACDA882F63B}"/>
            </a:ext>
          </a:extLst>
        </xdr:cNvPr>
        <xdr:cNvSpPr/>
      </xdr:nvSpPr>
      <xdr:spPr>
        <a:xfrm>
          <a:off x="54000" y="0"/>
          <a:ext cx="10554641" cy="133681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70</xdr:row>
      <xdr:rowOff>71292</xdr:rowOff>
    </xdr:to>
    <xdr:sp macro="" textlink="">
      <xdr:nvSpPr>
        <xdr:cNvPr id="14" name="CustomShape 1" hidden="1">
          <a:extLst>
            <a:ext uri="{FF2B5EF4-FFF2-40B4-BE49-F238E27FC236}">
              <a16:creationId xmlns="" xmlns:a16="http://schemas.microsoft.com/office/drawing/2014/main" id="{FBEFAD32-BD1A-4DDF-A266-3532604B830B}"/>
            </a:ext>
          </a:extLst>
        </xdr:cNvPr>
        <xdr:cNvSpPr/>
      </xdr:nvSpPr>
      <xdr:spPr>
        <a:xfrm>
          <a:off x="54000" y="0"/>
          <a:ext cx="10554641" cy="144349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70</xdr:row>
      <xdr:rowOff>71292</xdr:rowOff>
    </xdr:to>
    <xdr:sp macro="" textlink="">
      <xdr:nvSpPr>
        <xdr:cNvPr id="15" name="CustomShape 1" hidden="1">
          <a:extLst>
            <a:ext uri="{FF2B5EF4-FFF2-40B4-BE49-F238E27FC236}">
              <a16:creationId xmlns="" xmlns:a16="http://schemas.microsoft.com/office/drawing/2014/main" id="{55511349-2A50-4961-B97C-4ACDA882F63B}"/>
            </a:ext>
          </a:extLst>
        </xdr:cNvPr>
        <xdr:cNvSpPr/>
      </xdr:nvSpPr>
      <xdr:spPr>
        <a:xfrm>
          <a:off x="54000" y="0"/>
          <a:ext cx="10554641" cy="144349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70</xdr:row>
      <xdr:rowOff>66530</xdr:rowOff>
    </xdr:to>
    <xdr:sp macro="" textlink="">
      <xdr:nvSpPr>
        <xdr:cNvPr id="16" name="CustomShape 1" hidden="1">
          <a:extLst>
            <a:ext uri="{FF2B5EF4-FFF2-40B4-BE49-F238E27FC236}">
              <a16:creationId xmlns="" xmlns:a16="http://schemas.microsoft.com/office/drawing/2014/main" id="{FBEFAD32-BD1A-4DDF-A266-3532604B830B}"/>
            </a:ext>
          </a:extLst>
        </xdr:cNvPr>
        <xdr:cNvSpPr/>
      </xdr:nvSpPr>
      <xdr:spPr>
        <a:xfrm>
          <a:off x="54000" y="0"/>
          <a:ext cx="10554641" cy="144302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70</xdr:row>
      <xdr:rowOff>66530</xdr:rowOff>
    </xdr:to>
    <xdr:sp macro="" textlink="">
      <xdr:nvSpPr>
        <xdr:cNvPr id="17" name="CustomShape 1" hidden="1">
          <a:extLst>
            <a:ext uri="{FF2B5EF4-FFF2-40B4-BE49-F238E27FC236}">
              <a16:creationId xmlns="" xmlns:a16="http://schemas.microsoft.com/office/drawing/2014/main" id="{55511349-2A50-4961-B97C-4ACDA882F63B}"/>
            </a:ext>
          </a:extLst>
        </xdr:cNvPr>
        <xdr:cNvSpPr/>
      </xdr:nvSpPr>
      <xdr:spPr>
        <a:xfrm>
          <a:off x="54000" y="0"/>
          <a:ext cx="10554641" cy="144302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64</xdr:row>
      <xdr:rowOff>14142</xdr:rowOff>
    </xdr:to>
    <xdr:sp macro="" textlink="">
      <xdr:nvSpPr>
        <xdr:cNvPr id="18" name="CustomShape 1" hidden="1">
          <a:extLst>
            <a:ext uri="{FF2B5EF4-FFF2-40B4-BE49-F238E27FC236}">
              <a16:creationId xmlns="" xmlns:a16="http://schemas.microsoft.com/office/drawing/2014/main" id="{FBEFAD32-BD1A-4DDF-A266-3532604B830B}"/>
            </a:ext>
          </a:extLst>
        </xdr:cNvPr>
        <xdr:cNvSpPr/>
      </xdr:nvSpPr>
      <xdr:spPr>
        <a:xfrm>
          <a:off x="54000" y="0"/>
          <a:ext cx="10554641" cy="13177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64</xdr:row>
      <xdr:rowOff>14142</xdr:rowOff>
    </xdr:to>
    <xdr:sp macro="" textlink="">
      <xdr:nvSpPr>
        <xdr:cNvPr id="19" name="CustomShape 1" hidden="1">
          <a:extLst>
            <a:ext uri="{FF2B5EF4-FFF2-40B4-BE49-F238E27FC236}">
              <a16:creationId xmlns="" xmlns:a16="http://schemas.microsoft.com/office/drawing/2014/main" id="{55511349-2A50-4961-B97C-4ACDA882F63B}"/>
            </a:ext>
          </a:extLst>
        </xdr:cNvPr>
        <xdr:cNvSpPr/>
      </xdr:nvSpPr>
      <xdr:spPr>
        <a:xfrm>
          <a:off x="54000" y="0"/>
          <a:ext cx="10554641" cy="13177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oneCellAnchor>
    <xdr:from>
      <xdr:col>0</xdr:col>
      <xdr:colOff>54000</xdr:colOff>
      <xdr:row>0</xdr:row>
      <xdr:rowOff>0</xdr:rowOff>
    </xdr:from>
    <xdr:ext cx="10554641" cy="14777892"/>
    <xdr:sp macro="" textlink="">
      <xdr:nvSpPr>
        <xdr:cNvPr id="20" name="CustomShape 1" hidden="1">
          <a:extLst>
            <a:ext uri="{FF2B5EF4-FFF2-40B4-BE49-F238E27FC236}">
              <a16:creationId xmlns="" xmlns:a16="http://schemas.microsoft.com/office/drawing/2014/main" id="{FBEFAD32-BD1A-4DDF-A266-3532604B830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7892"/>
    <xdr:sp macro="" textlink="">
      <xdr:nvSpPr>
        <xdr:cNvPr id="21" name="CustomShape 1" hidden="1">
          <a:extLst>
            <a:ext uri="{FF2B5EF4-FFF2-40B4-BE49-F238E27FC236}">
              <a16:creationId xmlns="" xmlns:a16="http://schemas.microsoft.com/office/drawing/2014/main" id="{55511349-2A50-4961-B97C-4ACDA882F63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3130"/>
    <xdr:sp macro="" textlink="">
      <xdr:nvSpPr>
        <xdr:cNvPr id="22" name="CustomShape 1" hidden="1">
          <a:extLst>
            <a:ext uri="{FF2B5EF4-FFF2-40B4-BE49-F238E27FC236}">
              <a16:creationId xmlns="" xmlns:a16="http://schemas.microsoft.com/office/drawing/2014/main" id="{FBEFAD32-BD1A-4DDF-A266-3532604B830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3130"/>
    <xdr:sp macro="" textlink="">
      <xdr:nvSpPr>
        <xdr:cNvPr id="23" name="CustomShape 1" hidden="1">
          <a:extLst>
            <a:ext uri="{FF2B5EF4-FFF2-40B4-BE49-F238E27FC236}">
              <a16:creationId xmlns="" xmlns:a16="http://schemas.microsoft.com/office/drawing/2014/main" id="{55511349-2A50-4961-B97C-4ACDA882F63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3558692"/>
    <xdr:sp macro="" textlink="">
      <xdr:nvSpPr>
        <xdr:cNvPr id="24" name="CustomShape 1" hidden="1">
          <a:extLst>
            <a:ext uri="{FF2B5EF4-FFF2-40B4-BE49-F238E27FC236}">
              <a16:creationId xmlns="" xmlns:a16="http://schemas.microsoft.com/office/drawing/2014/main" id="{FBEFAD32-BD1A-4DDF-A266-3532604B830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3558692"/>
    <xdr:sp macro="" textlink="">
      <xdr:nvSpPr>
        <xdr:cNvPr id="25" name="CustomShape 1" hidden="1">
          <a:extLst>
            <a:ext uri="{FF2B5EF4-FFF2-40B4-BE49-F238E27FC236}">
              <a16:creationId xmlns="" xmlns:a16="http://schemas.microsoft.com/office/drawing/2014/main" id="{55511349-2A50-4961-B97C-4ACDA882F63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twoCellAnchor editAs="oneCell">
    <xdr:from>
      <xdr:col>0</xdr:col>
      <xdr:colOff>54000</xdr:colOff>
      <xdr:row>0</xdr:row>
      <xdr:rowOff>0</xdr:rowOff>
    </xdr:from>
    <xdr:to>
      <xdr:col>5</xdr:col>
      <xdr:colOff>394440</xdr:colOff>
      <xdr:row>76</xdr:row>
      <xdr:rowOff>37274</xdr:rowOff>
    </xdr:to>
    <xdr:sp macro="" textlink="">
      <xdr:nvSpPr>
        <xdr:cNvPr id="26" name="CustomShape 1" hidden="1">
          <a:extLst>
            <a:ext uri="{FF2B5EF4-FFF2-40B4-BE49-F238E27FC236}">
              <a16:creationId xmlns="" xmlns:a16="http://schemas.microsoft.com/office/drawing/2014/main" id="{FBEFAD32-BD1A-4DDF-A266-3532604B830B}"/>
            </a:ext>
          </a:extLst>
        </xdr:cNvPr>
        <xdr:cNvSpPr/>
      </xdr:nvSpPr>
      <xdr:spPr>
        <a:xfrm>
          <a:off x="54000" y="0"/>
          <a:ext cx="10551240" cy="15620174"/>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76</xdr:row>
      <xdr:rowOff>37274</xdr:rowOff>
    </xdr:to>
    <xdr:sp macro="" textlink="">
      <xdr:nvSpPr>
        <xdr:cNvPr id="27" name="CustomShape 1" hidden="1">
          <a:extLst>
            <a:ext uri="{FF2B5EF4-FFF2-40B4-BE49-F238E27FC236}">
              <a16:creationId xmlns="" xmlns:a16="http://schemas.microsoft.com/office/drawing/2014/main" id="{55511349-2A50-4961-B97C-4ACDA882F63B}"/>
            </a:ext>
          </a:extLst>
        </xdr:cNvPr>
        <xdr:cNvSpPr/>
      </xdr:nvSpPr>
      <xdr:spPr>
        <a:xfrm>
          <a:off x="54000" y="0"/>
          <a:ext cx="10551240" cy="15620174"/>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76</xdr:row>
      <xdr:rowOff>30130</xdr:rowOff>
    </xdr:to>
    <xdr:sp macro="" textlink="">
      <xdr:nvSpPr>
        <xdr:cNvPr id="28" name="CustomShape 1" hidden="1">
          <a:extLst>
            <a:ext uri="{FF2B5EF4-FFF2-40B4-BE49-F238E27FC236}">
              <a16:creationId xmlns="" xmlns:a16="http://schemas.microsoft.com/office/drawing/2014/main" id="{FBEFAD32-BD1A-4DDF-A266-3532604B830B}"/>
            </a:ext>
          </a:extLst>
        </xdr:cNvPr>
        <xdr:cNvSpPr/>
      </xdr:nvSpPr>
      <xdr:spPr>
        <a:xfrm>
          <a:off x="54000" y="0"/>
          <a:ext cx="10551240" cy="156130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76</xdr:row>
      <xdr:rowOff>30130</xdr:rowOff>
    </xdr:to>
    <xdr:sp macro="" textlink="">
      <xdr:nvSpPr>
        <xdr:cNvPr id="29" name="CustomShape 1" hidden="1">
          <a:extLst>
            <a:ext uri="{FF2B5EF4-FFF2-40B4-BE49-F238E27FC236}">
              <a16:creationId xmlns="" xmlns:a16="http://schemas.microsoft.com/office/drawing/2014/main" id="{55511349-2A50-4961-B97C-4ACDA882F63B}"/>
            </a:ext>
          </a:extLst>
        </xdr:cNvPr>
        <xdr:cNvSpPr/>
      </xdr:nvSpPr>
      <xdr:spPr>
        <a:xfrm>
          <a:off x="54000" y="0"/>
          <a:ext cx="10551240" cy="156130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68</xdr:row>
      <xdr:rowOff>9381</xdr:rowOff>
    </xdr:to>
    <xdr:sp macro="" textlink="">
      <xdr:nvSpPr>
        <xdr:cNvPr id="30" name="CustomShape 1" hidden="1">
          <a:extLst>
            <a:ext uri="{FF2B5EF4-FFF2-40B4-BE49-F238E27FC236}">
              <a16:creationId xmlns="" xmlns:a16="http://schemas.microsoft.com/office/drawing/2014/main" id="{FBEFAD32-BD1A-4DDF-A266-3532604B830B}"/>
            </a:ext>
          </a:extLst>
        </xdr:cNvPr>
        <xdr:cNvSpPr/>
      </xdr:nvSpPr>
      <xdr:spPr>
        <a:xfrm>
          <a:off x="54000" y="0"/>
          <a:ext cx="10551240" cy="1397303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68</xdr:row>
      <xdr:rowOff>9381</xdr:rowOff>
    </xdr:to>
    <xdr:sp macro="" textlink="">
      <xdr:nvSpPr>
        <xdr:cNvPr id="31" name="CustomShape 1" hidden="1">
          <a:extLst>
            <a:ext uri="{FF2B5EF4-FFF2-40B4-BE49-F238E27FC236}">
              <a16:creationId xmlns="" xmlns:a16="http://schemas.microsoft.com/office/drawing/2014/main" id="{55511349-2A50-4961-B97C-4ACDA882F63B}"/>
            </a:ext>
          </a:extLst>
        </xdr:cNvPr>
        <xdr:cNvSpPr/>
      </xdr:nvSpPr>
      <xdr:spPr>
        <a:xfrm>
          <a:off x="54000" y="0"/>
          <a:ext cx="10551240" cy="1397303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22986</xdr:rowOff>
    </xdr:to>
    <xdr:sp macro="" textlink="">
      <xdr:nvSpPr>
        <xdr:cNvPr id="32" name="CustomShape 1" hidden="1">
          <a:extLst>
            <a:ext uri="{FF2B5EF4-FFF2-40B4-BE49-F238E27FC236}">
              <a16:creationId xmlns="" xmlns:a16="http://schemas.microsoft.com/office/drawing/2014/main" id="{FBEFAD32-BD1A-4DDF-A266-3532604B830B}"/>
            </a:ext>
          </a:extLst>
        </xdr:cNvPr>
        <xdr:cNvSpPr/>
      </xdr:nvSpPr>
      <xdr:spPr>
        <a:xfrm>
          <a:off x="54000" y="0"/>
          <a:ext cx="10551240" cy="14386686"/>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22986</xdr:rowOff>
    </xdr:to>
    <xdr:sp macro="" textlink="">
      <xdr:nvSpPr>
        <xdr:cNvPr id="33" name="CustomShape 1" hidden="1">
          <a:extLst>
            <a:ext uri="{FF2B5EF4-FFF2-40B4-BE49-F238E27FC236}">
              <a16:creationId xmlns="" xmlns:a16="http://schemas.microsoft.com/office/drawing/2014/main" id="{55511349-2A50-4961-B97C-4ACDA882F63B}"/>
            </a:ext>
          </a:extLst>
        </xdr:cNvPr>
        <xdr:cNvSpPr/>
      </xdr:nvSpPr>
      <xdr:spPr>
        <a:xfrm>
          <a:off x="54000" y="0"/>
          <a:ext cx="10551240" cy="14386686"/>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15842</xdr:rowOff>
    </xdr:to>
    <xdr:sp macro="" textlink="">
      <xdr:nvSpPr>
        <xdr:cNvPr id="34" name="CustomShape 1" hidden="1">
          <a:extLst>
            <a:ext uri="{FF2B5EF4-FFF2-40B4-BE49-F238E27FC236}">
              <a16:creationId xmlns="" xmlns:a16="http://schemas.microsoft.com/office/drawing/2014/main" id="{FBEFAD32-BD1A-4DDF-A266-3532604B830B}"/>
            </a:ext>
          </a:extLst>
        </xdr:cNvPr>
        <xdr:cNvSpPr/>
      </xdr:nvSpPr>
      <xdr:spPr>
        <a:xfrm>
          <a:off x="54000" y="0"/>
          <a:ext cx="10551240" cy="143795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15842</xdr:rowOff>
    </xdr:to>
    <xdr:sp macro="" textlink="">
      <xdr:nvSpPr>
        <xdr:cNvPr id="35" name="CustomShape 1" hidden="1">
          <a:extLst>
            <a:ext uri="{FF2B5EF4-FFF2-40B4-BE49-F238E27FC236}">
              <a16:creationId xmlns="" xmlns:a16="http://schemas.microsoft.com/office/drawing/2014/main" id="{55511349-2A50-4961-B97C-4ACDA882F63B}"/>
            </a:ext>
          </a:extLst>
        </xdr:cNvPr>
        <xdr:cNvSpPr/>
      </xdr:nvSpPr>
      <xdr:spPr>
        <a:xfrm>
          <a:off x="54000" y="0"/>
          <a:ext cx="10551240" cy="1437954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63</xdr:row>
      <xdr:rowOff>137968</xdr:rowOff>
    </xdr:to>
    <xdr:sp macro="" textlink="">
      <xdr:nvSpPr>
        <xdr:cNvPr id="36" name="CustomShape 1" hidden="1">
          <a:extLst>
            <a:ext uri="{FF2B5EF4-FFF2-40B4-BE49-F238E27FC236}">
              <a16:creationId xmlns="" xmlns:a16="http://schemas.microsoft.com/office/drawing/2014/main" id="{FBEFAD32-BD1A-4DDF-A266-3532604B830B}"/>
            </a:ext>
          </a:extLst>
        </xdr:cNvPr>
        <xdr:cNvSpPr/>
      </xdr:nvSpPr>
      <xdr:spPr>
        <a:xfrm>
          <a:off x="54000" y="0"/>
          <a:ext cx="10551240" cy="13101493"/>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63</xdr:row>
      <xdr:rowOff>137968</xdr:rowOff>
    </xdr:to>
    <xdr:sp macro="" textlink="">
      <xdr:nvSpPr>
        <xdr:cNvPr id="37" name="CustomShape 1" hidden="1">
          <a:extLst>
            <a:ext uri="{FF2B5EF4-FFF2-40B4-BE49-F238E27FC236}">
              <a16:creationId xmlns="" xmlns:a16="http://schemas.microsoft.com/office/drawing/2014/main" id="{55511349-2A50-4961-B97C-4ACDA882F63B}"/>
            </a:ext>
          </a:extLst>
        </xdr:cNvPr>
        <xdr:cNvSpPr/>
      </xdr:nvSpPr>
      <xdr:spPr>
        <a:xfrm>
          <a:off x="54000" y="0"/>
          <a:ext cx="10551240" cy="13101493"/>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54000</xdr:colOff>
      <xdr:row>0</xdr:row>
      <xdr:rowOff>0</xdr:rowOff>
    </xdr:from>
    <xdr:to>
      <xdr:col>5</xdr:col>
      <xdr:colOff>397841</xdr:colOff>
      <xdr:row>72</xdr:row>
      <xdr:rowOff>4617</xdr:rowOff>
    </xdr:to>
    <xdr:sp macro="" textlink="">
      <xdr:nvSpPr>
        <xdr:cNvPr id="2" name="CustomShape 1" hidden="1">
          <a:extLst>
            <a:ext uri="{FF2B5EF4-FFF2-40B4-BE49-F238E27FC236}">
              <a16:creationId xmlns="" xmlns:a16="http://schemas.microsoft.com/office/drawing/2014/main" id="{FBEFAD32-BD1A-4DDF-A266-3532604B830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72</xdr:row>
      <xdr:rowOff>4617</xdr:rowOff>
    </xdr:to>
    <xdr:sp macro="" textlink="">
      <xdr:nvSpPr>
        <xdr:cNvPr id="3" name="CustomShape 1" hidden="1">
          <a:extLst>
            <a:ext uri="{FF2B5EF4-FFF2-40B4-BE49-F238E27FC236}">
              <a16:creationId xmlns="" xmlns:a16="http://schemas.microsoft.com/office/drawing/2014/main" id="{55511349-2A50-4961-B97C-4ACDA882F63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199880</xdr:rowOff>
    </xdr:to>
    <xdr:sp macro="" textlink="">
      <xdr:nvSpPr>
        <xdr:cNvPr id="4" name="CustomShape 1" hidden="1">
          <a:extLst>
            <a:ext uri="{FF2B5EF4-FFF2-40B4-BE49-F238E27FC236}">
              <a16:creationId xmlns="" xmlns:a16="http://schemas.microsoft.com/office/drawing/2014/main" id="{FBEFAD32-BD1A-4DDF-A266-3532604B830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71</xdr:row>
      <xdr:rowOff>199880</xdr:rowOff>
    </xdr:to>
    <xdr:sp macro="" textlink="">
      <xdr:nvSpPr>
        <xdr:cNvPr id="5" name="CustomShape 1" hidden="1">
          <a:extLst>
            <a:ext uri="{FF2B5EF4-FFF2-40B4-BE49-F238E27FC236}">
              <a16:creationId xmlns="" xmlns:a16="http://schemas.microsoft.com/office/drawing/2014/main" id="{55511349-2A50-4961-B97C-4ACDA882F63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195117</xdr:rowOff>
    </xdr:to>
    <xdr:sp macro="" textlink="">
      <xdr:nvSpPr>
        <xdr:cNvPr id="6" name="CustomShape 1" hidden="1">
          <a:extLst>
            <a:ext uri="{FF2B5EF4-FFF2-40B4-BE49-F238E27FC236}">
              <a16:creationId xmlns="" xmlns:a16="http://schemas.microsoft.com/office/drawing/2014/main" id="{FBEFAD32-BD1A-4DDF-A266-3532604B830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397841</xdr:colOff>
      <xdr:row>65</xdr:row>
      <xdr:rowOff>195117</xdr:rowOff>
    </xdr:to>
    <xdr:sp macro="" textlink="">
      <xdr:nvSpPr>
        <xdr:cNvPr id="7" name="CustomShape 1" hidden="1">
          <a:extLst>
            <a:ext uri="{FF2B5EF4-FFF2-40B4-BE49-F238E27FC236}">
              <a16:creationId xmlns="" xmlns:a16="http://schemas.microsoft.com/office/drawing/2014/main" id="{55511349-2A50-4961-B97C-4ACDA882F63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oneCellAnchor>
    <xdr:from>
      <xdr:col>0</xdr:col>
      <xdr:colOff>54000</xdr:colOff>
      <xdr:row>0</xdr:row>
      <xdr:rowOff>0</xdr:rowOff>
    </xdr:from>
    <xdr:ext cx="10554641" cy="14777892"/>
    <xdr:sp macro="" textlink="">
      <xdr:nvSpPr>
        <xdr:cNvPr id="8" name="CustomShape 1" hidden="1">
          <a:extLst>
            <a:ext uri="{FF2B5EF4-FFF2-40B4-BE49-F238E27FC236}">
              <a16:creationId xmlns="" xmlns:a16="http://schemas.microsoft.com/office/drawing/2014/main" id="{FBEFAD32-BD1A-4DDF-A266-3532604B830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7892"/>
    <xdr:sp macro="" textlink="">
      <xdr:nvSpPr>
        <xdr:cNvPr id="9" name="CustomShape 1" hidden="1">
          <a:extLst>
            <a:ext uri="{FF2B5EF4-FFF2-40B4-BE49-F238E27FC236}">
              <a16:creationId xmlns="" xmlns:a16="http://schemas.microsoft.com/office/drawing/2014/main" id="{55511349-2A50-4961-B97C-4ACDA882F63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3130"/>
    <xdr:sp macro="" textlink="">
      <xdr:nvSpPr>
        <xdr:cNvPr id="10" name="CustomShape 1" hidden="1">
          <a:extLst>
            <a:ext uri="{FF2B5EF4-FFF2-40B4-BE49-F238E27FC236}">
              <a16:creationId xmlns="" xmlns:a16="http://schemas.microsoft.com/office/drawing/2014/main" id="{FBEFAD32-BD1A-4DDF-A266-3532604B830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3130"/>
    <xdr:sp macro="" textlink="">
      <xdr:nvSpPr>
        <xdr:cNvPr id="11" name="CustomShape 1" hidden="1">
          <a:extLst>
            <a:ext uri="{FF2B5EF4-FFF2-40B4-BE49-F238E27FC236}">
              <a16:creationId xmlns="" xmlns:a16="http://schemas.microsoft.com/office/drawing/2014/main" id="{55511349-2A50-4961-B97C-4ACDA882F63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3558692"/>
    <xdr:sp macro="" textlink="">
      <xdr:nvSpPr>
        <xdr:cNvPr id="12" name="CustomShape 1" hidden="1">
          <a:extLst>
            <a:ext uri="{FF2B5EF4-FFF2-40B4-BE49-F238E27FC236}">
              <a16:creationId xmlns="" xmlns:a16="http://schemas.microsoft.com/office/drawing/2014/main" id="{FBEFAD32-BD1A-4DDF-A266-3532604B830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3558692"/>
    <xdr:sp macro="" textlink="">
      <xdr:nvSpPr>
        <xdr:cNvPr id="13" name="CustomShape 1" hidden="1">
          <a:extLst>
            <a:ext uri="{FF2B5EF4-FFF2-40B4-BE49-F238E27FC236}">
              <a16:creationId xmlns="" xmlns:a16="http://schemas.microsoft.com/office/drawing/2014/main" id="{55511349-2A50-4961-B97C-4ACDA882F63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twoCellAnchor editAs="oneCell">
    <xdr:from>
      <xdr:col>0</xdr:col>
      <xdr:colOff>54000</xdr:colOff>
      <xdr:row>0</xdr:row>
      <xdr:rowOff>0</xdr:rowOff>
    </xdr:from>
    <xdr:to>
      <xdr:col>5</xdr:col>
      <xdr:colOff>394440</xdr:colOff>
      <xdr:row>76</xdr:row>
      <xdr:rowOff>170624</xdr:rowOff>
    </xdr:to>
    <xdr:sp macro="" textlink="">
      <xdr:nvSpPr>
        <xdr:cNvPr id="14" name="CustomShape 1" hidden="1">
          <a:extLst>
            <a:ext uri="{FF2B5EF4-FFF2-40B4-BE49-F238E27FC236}">
              <a16:creationId xmlns="" xmlns:a16="http://schemas.microsoft.com/office/drawing/2014/main" id="{FBEFAD32-BD1A-4DDF-A266-3532604B830B}"/>
            </a:ext>
          </a:extLst>
        </xdr:cNvPr>
        <xdr:cNvSpPr/>
      </xdr:nvSpPr>
      <xdr:spPr>
        <a:xfrm>
          <a:off x="54000" y="0"/>
          <a:ext cx="10551240" cy="15753524"/>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76</xdr:row>
      <xdr:rowOff>170624</xdr:rowOff>
    </xdr:to>
    <xdr:sp macro="" textlink="">
      <xdr:nvSpPr>
        <xdr:cNvPr id="15" name="CustomShape 1" hidden="1">
          <a:extLst>
            <a:ext uri="{FF2B5EF4-FFF2-40B4-BE49-F238E27FC236}">
              <a16:creationId xmlns="" xmlns:a16="http://schemas.microsoft.com/office/drawing/2014/main" id="{55511349-2A50-4961-B97C-4ACDA882F63B}"/>
            </a:ext>
          </a:extLst>
        </xdr:cNvPr>
        <xdr:cNvSpPr/>
      </xdr:nvSpPr>
      <xdr:spPr>
        <a:xfrm>
          <a:off x="54000" y="0"/>
          <a:ext cx="10551240" cy="15753524"/>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76</xdr:row>
      <xdr:rowOff>163480</xdr:rowOff>
    </xdr:to>
    <xdr:sp macro="" textlink="">
      <xdr:nvSpPr>
        <xdr:cNvPr id="16" name="CustomShape 1" hidden="1">
          <a:extLst>
            <a:ext uri="{FF2B5EF4-FFF2-40B4-BE49-F238E27FC236}">
              <a16:creationId xmlns="" xmlns:a16="http://schemas.microsoft.com/office/drawing/2014/main" id="{FBEFAD32-BD1A-4DDF-A266-3532604B830B}"/>
            </a:ext>
          </a:extLst>
        </xdr:cNvPr>
        <xdr:cNvSpPr/>
      </xdr:nvSpPr>
      <xdr:spPr>
        <a:xfrm>
          <a:off x="54000" y="0"/>
          <a:ext cx="10551240" cy="1574638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76</xdr:row>
      <xdr:rowOff>163480</xdr:rowOff>
    </xdr:to>
    <xdr:sp macro="" textlink="">
      <xdr:nvSpPr>
        <xdr:cNvPr id="17" name="CustomShape 1" hidden="1">
          <a:extLst>
            <a:ext uri="{FF2B5EF4-FFF2-40B4-BE49-F238E27FC236}">
              <a16:creationId xmlns="" xmlns:a16="http://schemas.microsoft.com/office/drawing/2014/main" id="{55511349-2A50-4961-B97C-4ACDA882F63B}"/>
            </a:ext>
          </a:extLst>
        </xdr:cNvPr>
        <xdr:cNvSpPr/>
      </xdr:nvSpPr>
      <xdr:spPr>
        <a:xfrm>
          <a:off x="54000" y="0"/>
          <a:ext cx="10551240" cy="1574638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69</xdr:row>
      <xdr:rowOff>190356</xdr:rowOff>
    </xdr:to>
    <xdr:sp macro="" textlink="">
      <xdr:nvSpPr>
        <xdr:cNvPr id="18" name="CustomShape 1" hidden="1">
          <a:extLst>
            <a:ext uri="{FF2B5EF4-FFF2-40B4-BE49-F238E27FC236}">
              <a16:creationId xmlns="" xmlns:a16="http://schemas.microsoft.com/office/drawing/2014/main" id="{FBEFAD32-BD1A-4DDF-A266-3532604B830B}"/>
            </a:ext>
          </a:extLst>
        </xdr:cNvPr>
        <xdr:cNvSpPr/>
      </xdr:nvSpPr>
      <xdr:spPr>
        <a:xfrm>
          <a:off x="54000" y="0"/>
          <a:ext cx="10551240" cy="1435403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69</xdr:row>
      <xdr:rowOff>190356</xdr:rowOff>
    </xdr:to>
    <xdr:sp macro="" textlink="">
      <xdr:nvSpPr>
        <xdr:cNvPr id="19" name="CustomShape 1" hidden="1">
          <a:extLst>
            <a:ext uri="{FF2B5EF4-FFF2-40B4-BE49-F238E27FC236}">
              <a16:creationId xmlns="" xmlns:a16="http://schemas.microsoft.com/office/drawing/2014/main" id="{55511349-2A50-4961-B97C-4ACDA882F63B}"/>
            </a:ext>
          </a:extLst>
        </xdr:cNvPr>
        <xdr:cNvSpPr/>
      </xdr:nvSpPr>
      <xdr:spPr>
        <a:xfrm>
          <a:off x="54000" y="0"/>
          <a:ext cx="10551240" cy="1435403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71</xdr:row>
      <xdr:rowOff>146811</xdr:rowOff>
    </xdr:to>
    <xdr:sp macro="" textlink="">
      <xdr:nvSpPr>
        <xdr:cNvPr id="20" name="CustomShape 1" hidden="1">
          <a:extLst>
            <a:ext uri="{FF2B5EF4-FFF2-40B4-BE49-F238E27FC236}">
              <a16:creationId xmlns="" xmlns:a16="http://schemas.microsoft.com/office/drawing/2014/main" id="{FBEFAD32-BD1A-4DDF-A266-3532604B830B}"/>
            </a:ext>
          </a:extLst>
        </xdr:cNvPr>
        <xdr:cNvSpPr/>
      </xdr:nvSpPr>
      <xdr:spPr>
        <a:xfrm>
          <a:off x="54000" y="0"/>
          <a:ext cx="10551240" cy="1472006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71</xdr:row>
      <xdr:rowOff>146811</xdr:rowOff>
    </xdr:to>
    <xdr:sp macro="" textlink="">
      <xdr:nvSpPr>
        <xdr:cNvPr id="21" name="CustomShape 1" hidden="1">
          <a:extLst>
            <a:ext uri="{FF2B5EF4-FFF2-40B4-BE49-F238E27FC236}">
              <a16:creationId xmlns="" xmlns:a16="http://schemas.microsoft.com/office/drawing/2014/main" id="{55511349-2A50-4961-B97C-4ACDA882F63B}"/>
            </a:ext>
          </a:extLst>
        </xdr:cNvPr>
        <xdr:cNvSpPr/>
      </xdr:nvSpPr>
      <xdr:spPr>
        <a:xfrm>
          <a:off x="54000" y="0"/>
          <a:ext cx="10551240" cy="1472006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71</xdr:row>
      <xdr:rowOff>139667</xdr:rowOff>
    </xdr:to>
    <xdr:sp macro="" textlink="">
      <xdr:nvSpPr>
        <xdr:cNvPr id="22" name="CustomShape 1" hidden="1">
          <a:extLst>
            <a:ext uri="{FF2B5EF4-FFF2-40B4-BE49-F238E27FC236}">
              <a16:creationId xmlns="" xmlns:a16="http://schemas.microsoft.com/office/drawing/2014/main" id="{FBEFAD32-BD1A-4DDF-A266-3532604B830B}"/>
            </a:ext>
          </a:extLst>
        </xdr:cNvPr>
        <xdr:cNvSpPr/>
      </xdr:nvSpPr>
      <xdr:spPr>
        <a:xfrm>
          <a:off x="54000" y="0"/>
          <a:ext cx="10551240" cy="14712917"/>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71</xdr:row>
      <xdr:rowOff>139667</xdr:rowOff>
    </xdr:to>
    <xdr:sp macro="" textlink="">
      <xdr:nvSpPr>
        <xdr:cNvPr id="23" name="CustomShape 1" hidden="1">
          <a:extLst>
            <a:ext uri="{FF2B5EF4-FFF2-40B4-BE49-F238E27FC236}">
              <a16:creationId xmlns="" xmlns:a16="http://schemas.microsoft.com/office/drawing/2014/main" id="{55511349-2A50-4961-B97C-4ACDA882F63B}"/>
            </a:ext>
          </a:extLst>
        </xdr:cNvPr>
        <xdr:cNvSpPr/>
      </xdr:nvSpPr>
      <xdr:spPr>
        <a:xfrm>
          <a:off x="54000" y="0"/>
          <a:ext cx="10551240" cy="14712917"/>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65</xdr:row>
      <xdr:rowOff>118918</xdr:rowOff>
    </xdr:to>
    <xdr:sp macro="" textlink="">
      <xdr:nvSpPr>
        <xdr:cNvPr id="24" name="CustomShape 1" hidden="1">
          <a:extLst>
            <a:ext uri="{FF2B5EF4-FFF2-40B4-BE49-F238E27FC236}">
              <a16:creationId xmlns="" xmlns:a16="http://schemas.microsoft.com/office/drawing/2014/main" id="{FBEFAD32-BD1A-4DDF-A266-3532604B830B}"/>
            </a:ext>
          </a:extLst>
        </xdr:cNvPr>
        <xdr:cNvSpPr/>
      </xdr:nvSpPr>
      <xdr:spPr>
        <a:xfrm>
          <a:off x="54000" y="0"/>
          <a:ext cx="10551240" cy="13482493"/>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65</xdr:row>
      <xdr:rowOff>118918</xdr:rowOff>
    </xdr:to>
    <xdr:sp macro="" textlink="">
      <xdr:nvSpPr>
        <xdr:cNvPr id="25" name="CustomShape 1" hidden="1">
          <a:extLst>
            <a:ext uri="{FF2B5EF4-FFF2-40B4-BE49-F238E27FC236}">
              <a16:creationId xmlns="" xmlns:a16="http://schemas.microsoft.com/office/drawing/2014/main" id="{55511349-2A50-4961-B97C-4ACDA882F63B}"/>
            </a:ext>
          </a:extLst>
        </xdr:cNvPr>
        <xdr:cNvSpPr/>
      </xdr:nvSpPr>
      <xdr:spPr>
        <a:xfrm>
          <a:off x="54000" y="0"/>
          <a:ext cx="10551240" cy="13482493"/>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54000</xdr:colOff>
      <xdr:row>0</xdr:row>
      <xdr:rowOff>0</xdr:rowOff>
    </xdr:from>
    <xdr:ext cx="10554641" cy="14777892"/>
    <xdr:sp macro="" textlink="">
      <xdr:nvSpPr>
        <xdr:cNvPr id="2" name="CustomShape 1" hidden="1">
          <a:extLst>
            <a:ext uri="{FF2B5EF4-FFF2-40B4-BE49-F238E27FC236}">
              <a16:creationId xmlns="" xmlns:a16="http://schemas.microsoft.com/office/drawing/2014/main" id="{FBEFAD32-BD1A-4DDF-A266-3532604B830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7892"/>
    <xdr:sp macro="" textlink="">
      <xdr:nvSpPr>
        <xdr:cNvPr id="3" name="CustomShape 1" hidden="1">
          <a:extLst>
            <a:ext uri="{FF2B5EF4-FFF2-40B4-BE49-F238E27FC236}">
              <a16:creationId xmlns="" xmlns:a16="http://schemas.microsoft.com/office/drawing/2014/main" id="{55511349-2A50-4961-B97C-4ACDA882F63B}"/>
            </a:ext>
          </a:extLst>
        </xdr:cNvPr>
        <xdr:cNvSpPr/>
      </xdr:nvSpPr>
      <xdr:spPr>
        <a:xfrm>
          <a:off x="54000" y="0"/>
          <a:ext cx="10554641" cy="147778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3130"/>
    <xdr:sp macro="" textlink="">
      <xdr:nvSpPr>
        <xdr:cNvPr id="4" name="CustomShape 1" hidden="1">
          <a:extLst>
            <a:ext uri="{FF2B5EF4-FFF2-40B4-BE49-F238E27FC236}">
              <a16:creationId xmlns="" xmlns:a16="http://schemas.microsoft.com/office/drawing/2014/main" id="{FBEFAD32-BD1A-4DDF-A266-3532604B830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4773130"/>
    <xdr:sp macro="" textlink="">
      <xdr:nvSpPr>
        <xdr:cNvPr id="5" name="CustomShape 1" hidden="1">
          <a:extLst>
            <a:ext uri="{FF2B5EF4-FFF2-40B4-BE49-F238E27FC236}">
              <a16:creationId xmlns="" xmlns:a16="http://schemas.microsoft.com/office/drawing/2014/main" id="{55511349-2A50-4961-B97C-4ACDA882F63B}"/>
            </a:ext>
          </a:extLst>
        </xdr:cNvPr>
        <xdr:cNvSpPr/>
      </xdr:nvSpPr>
      <xdr:spPr>
        <a:xfrm>
          <a:off x="54000" y="0"/>
          <a:ext cx="10554641" cy="1477313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3558692"/>
    <xdr:sp macro="" textlink="">
      <xdr:nvSpPr>
        <xdr:cNvPr id="6" name="CustomShape 1" hidden="1">
          <a:extLst>
            <a:ext uri="{FF2B5EF4-FFF2-40B4-BE49-F238E27FC236}">
              <a16:creationId xmlns="" xmlns:a16="http://schemas.microsoft.com/office/drawing/2014/main" id="{FBEFAD32-BD1A-4DDF-A266-3532604B830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0</xdr:col>
      <xdr:colOff>54000</xdr:colOff>
      <xdr:row>0</xdr:row>
      <xdr:rowOff>0</xdr:rowOff>
    </xdr:from>
    <xdr:ext cx="10554641" cy="13558692"/>
    <xdr:sp macro="" textlink="">
      <xdr:nvSpPr>
        <xdr:cNvPr id="7" name="CustomShape 1" hidden="1">
          <a:extLst>
            <a:ext uri="{FF2B5EF4-FFF2-40B4-BE49-F238E27FC236}">
              <a16:creationId xmlns="" xmlns:a16="http://schemas.microsoft.com/office/drawing/2014/main" id="{55511349-2A50-4961-B97C-4ACDA882F63B}"/>
            </a:ext>
          </a:extLst>
        </xdr:cNvPr>
        <xdr:cNvSpPr/>
      </xdr:nvSpPr>
      <xdr:spPr>
        <a:xfrm>
          <a:off x="54000" y="0"/>
          <a:ext cx="10554641" cy="13558692"/>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oneCellAnchor>
  <xdr:twoCellAnchor editAs="oneCell">
    <xdr:from>
      <xdr:col>0</xdr:col>
      <xdr:colOff>54000</xdr:colOff>
      <xdr:row>0</xdr:row>
      <xdr:rowOff>0</xdr:rowOff>
    </xdr:from>
    <xdr:to>
      <xdr:col>5</xdr:col>
      <xdr:colOff>394440</xdr:colOff>
      <xdr:row>77</xdr:row>
      <xdr:rowOff>37274</xdr:rowOff>
    </xdr:to>
    <xdr:sp macro="" textlink="">
      <xdr:nvSpPr>
        <xdr:cNvPr id="8" name="CustomShape 1" hidden="1">
          <a:extLst>
            <a:ext uri="{FF2B5EF4-FFF2-40B4-BE49-F238E27FC236}">
              <a16:creationId xmlns="" xmlns:a16="http://schemas.microsoft.com/office/drawing/2014/main" id="{FBEFAD32-BD1A-4DDF-A266-3532604B830B}"/>
            </a:ext>
          </a:extLst>
        </xdr:cNvPr>
        <xdr:cNvSpPr/>
      </xdr:nvSpPr>
      <xdr:spPr>
        <a:xfrm>
          <a:off x="54000" y="0"/>
          <a:ext cx="10551240" cy="15763049"/>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77</xdr:row>
      <xdr:rowOff>37274</xdr:rowOff>
    </xdr:to>
    <xdr:sp macro="" textlink="">
      <xdr:nvSpPr>
        <xdr:cNvPr id="9" name="CustomShape 1" hidden="1">
          <a:extLst>
            <a:ext uri="{FF2B5EF4-FFF2-40B4-BE49-F238E27FC236}">
              <a16:creationId xmlns="" xmlns:a16="http://schemas.microsoft.com/office/drawing/2014/main" id="{55511349-2A50-4961-B97C-4ACDA882F63B}"/>
            </a:ext>
          </a:extLst>
        </xdr:cNvPr>
        <xdr:cNvSpPr/>
      </xdr:nvSpPr>
      <xdr:spPr>
        <a:xfrm>
          <a:off x="54000" y="0"/>
          <a:ext cx="10551240" cy="15763049"/>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77</xdr:row>
      <xdr:rowOff>30130</xdr:rowOff>
    </xdr:to>
    <xdr:sp macro="" textlink="">
      <xdr:nvSpPr>
        <xdr:cNvPr id="10" name="CustomShape 1" hidden="1">
          <a:extLst>
            <a:ext uri="{FF2B5EF4-FFF2-40B4-BE49-F238E27FC236}">
              <a16:creationId xmlns="" xmlns:a16="http://schemas.microsoft.com/office/drawing/2014/main" id="{FBEFAD32-BD1A-4DDF-A266-3532604B830B}"/>
            </a:ext>
          </a:extLst>
        </xdr:cNvPr>
        <xdr:cNvSpPr/>
      </xdr:nvSpPr>
      <xdr:spPr>
        <a:xfrm>
          <a:off x="54000" y="0"/>
          <a:ext cx="10551240" cy="15755905"/>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77</xdr:row>
      <xdr:rowOff>30130</xdr:rowOff>
    </xdr:to>
    <xdr:sp macro="" textlink="">
      <xdr:nvSpPr>
        <xdr:cNvPr id="11" name="CustomShape 1" hidden="1">
          <a:extLst>
            <a:ext uri="{FF2B5EF4-FFF2-40B4-BE49-F238E27FC236}">
              <a16:creationId xmlns="" xmlns:a16="http://schemas.microsoft.com/office/drawing/2014/main" id="{55511349-2A50-4961-B97C-4ACDA882F63B}"/>
            </a:ext>
          </a:extLst>
        </xdr:cNvPr>
        <xdr:cNvSpPr/>
      </xdr:nvSpPr>
      <xdr:spPr>
        <a:xfrm>
          <a:off x="54000" y="0"/>
          <a:ext cx="10551240" cy="15755905"/>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152256</xdr:rowOff>
    </xdr:to>
    <xdr:sp macro="" textlink="">
      <xdr:nvSpPr>
        <xdr:cNvPr id="12" name="CustomShape 1" hidden="1">
          <a:extLst>
            <a:ext uri="{FF2B5EF4-FFF2-40B4-BE49-F238E27FC236}">
              <a16:creationId xmlns="" xmlns:a16="http://schemas.microsoft.com/office/drawing/2014/main" id="{FBEFAD32-BD1A-4DDF-A266-3532604B830B}"/>
            </a:ext>
          </a:extLst>
        </xdr:cNvPr>
        <xdr:cNvSpPr/>
      </xdr:nvSpPr>
      <xdr:spPr>
        <a:xfrm>
          <a:off x="54000" y="0"/>
          <a:ext cx="10551240" cy="14351649"/>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70</xdr:row>
      <xdr:rowOff>152256</xdr:rowOff>
    </xdr:to>
    <xdr:sp macro="" textlink="">
      <xdr:nvSpPr>
        <xdr:cNvPr id="13" name="CustomShape 1" hidden="1">
          <a:extLst>
            <a:ext uri="{FF2B5EF4-FFF2-40B4-BE49-F238E27FC236}">
              <a16:creationId xmlns="" xmlns:a16="http://schemas.microsoft.com/office/drawing/2014/main" id="{55511349-2A50-4961-B97C-4ACDA882F63B}"/>
            </a:ext>
          </a:extLst>
        </xdr:cNvPr>
        <xdr:cNvSpPr/>
      </xdr:nvSpPr>
      <xdr:spPr>
        <a:xfrm>
          <a:off x="54000" y="0"/>
          <a:ext cx="10551240" cy="14351649"/>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72</xdr:row>
      <xdr:rowOff>118236</xdr:rowOff>
    </xdr:to>
    <xdr:sp macro="" textlink="">
      <xdr:nvSpPr>
        <xdr:cNvPr id="14" name="CustomShape 1" hidden="1">
          <a:extLst>
            <a:ext uri="{FF2B5EF4-FFF2-40B4-BE49-F238E27FC236}">
              <a16:creationId xmlns="" xmlns:a16="http://schemas.microsoft.com/office/drawing/2014/main" id="{FBEFAD32-BD1A-4DDF-A266-3532604B830B}"/>
            </a:ext>
          </a:extLst>
        </xdr:cNvPr>
        <xdr:cNvSpPr/>
      </xdr:nvSpPr>
      <xdr:spPr>
        <a:xfrm>
          <a:off x="54000" y="0"/>
          <a:ext cx="10551240" cy="14715299"/>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72</xdr:row>
      <xdr:rowOff>118236</xdr:rowOff>
    </xdr:to>
    <xdr:sp macro="" textlink="">
      <xdr:nvSpPr>
        <xdr:cNvPr id="15" name="CustomShape 1" hidden="1">
          <a:extLst>
            <a:ext uri="{FF2B5EF4-FFF2-40B4-BE49-F238E27FC236}">
              <a16:creationId xmlns="" xmlns:a16="http://schemas.microsoft.com/office/drawing/2014/main" id="{55511349-2A50-4961-B97C-4ACDA882F63B}"/>
            </a:ext>
          </a:extLst>
        </xdr:cNvPr>
        <xdr:cNvSpPr/>
      </xdr:nvSpPr>
      <xdr:spPr>
        <a:xfrm>
          <a:off x="54000" y="0"/>
          <a:ext cx="10551240" cy="14715299"/>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72</xdr:row>
      <xdr:rowOff>111092</xdr:rowOff>
    </xdr:to>
    <xdr:sp macro="" textlink="">
      <xdr:nvSpPr>
        <xdr:cNvPr id="16" name="CustomShape 1" hidden="1">
          <a:extLst>
            <a:ext uri="{FF2B5EF4-FFF2-40B4-BE49-F238E27FC236}">
              <a16:creationId xmlns="" xmlns:a16="http://schemas.microsoft.com/office/drawing/2014/main" id="{FBEFAD32-BD1A-4DDF-A266-3532604B830B}"/>
            </a:ext>
          </a:extLst>
        </xdr:cNvPr>
        <xdr:cNvSpPr/>
      </xdr:nvSpPr>
      <xdr:spPr>
        <a:xfrm>
          <a:off x="54000" y="0"/>
          <a:ext cx="10551240" cy="14708155"/>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72</xdr:row>
      <xdr:rowOff>111092</xdr:rowOff>
    </xdr:to>
    <xdr:sp macro="" textlink="">
      <xdr:nvSpPr>
        <xdr:cNvPr id="17" name="CustomShape 1" hidden="1">
          <a:extLst>
            <a:ext uri="{FF2B5EF4-FFF2-40B4-BE49-F238E27FC236}">
              <a16:creationId xmlns="" xmlns:a16="http://schemas.microsoft.com/office/drawing/2014/main" id="{55511349-2A50-4961-B97C-4ACDA882F63B}"/>
            </a:ext>
          </a:extLst>
        </xdr:cNvPr>
        <xdr:cNvSpPr/>
      </xdr:nvSpPr>
      <xdr:spPr>
        <a:xfrm>
          <a:off x="54000" y="0"/>
          <a:ext cx="10551240" cy="14708155"/>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66</xdr:row>
      <xdr:rowOff>109393</xdr:rowOff>
    </xdr:to>
    <xdr:sp macro="" textlink="">
      <xdr:nvSpPr>
        <xdr:cNvPr id="18" name="CustomShape 1" hidden="1">
          <a:extLst>
            <a:ext uri="{FF2B5EF4-FFF2-40B4-BE49-F238E27FC236}">
              <a16:creationId xmlns="" xmlns:a16="http://schemas.microsoft.com/office/drawing/2014/main" id="{FBEFAD32-BD1A-4DDF-A266-3532604B830B}"/>
            </a:ext>
          </a:extLst>
        </xdr:cNvPr>
        <xdr:cNvSpPr/>
      </xdr:nvSpPr>
      <xdr:spPr>
        <a:xfrm>
          <a:off x="54000" y="0"/>
          <a:ext cx="10551240" cy="13484874"/>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5</xdr:col>
      <xdr:colOff>394440</xdr:colOff>
      <xdr:row>66</xdr:row>
      <xdr:rowOff>109393</xdr:rowOff>
    </xdr:to>
    <xdr:sp macro="" textlink="">
      <xdr:nvSpPr>
        <xdr:cNvPr id="19" name="CustomShape 1" hidden="1">
          <a:extLst>
            <a:ext uri="{FF2B5EF4-FFF2-40B4-BE49-F238E27FC236}">
              <a16:creationId xmlns="" xmlns:a16="http://schemas.microsoft.com/office/drawing/2014/main" id="{55511349-2A50-4961-B97C-4ACDA882F63B}"/>
            </a:ext>
          </a:extLst>
        </xdr:cNvPr>
        <xdr:cNvSpPr/>
      </xdr:nvSpPr>
      <xdr:spPr>
        <a:xfrm>
          <a:off x="54000" y="0"/>
          <a:ext cx="10551240" cy="13484874"/>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A10" zoomScaleNormal="100" workbookViewId="0">
      <selection activeCell="P21" sqref="P21"/>
    </sheetView>
  </sheetViews>
  <sheetFormatPr defaultRowHeight="15"/>
  <cols>
    <col min="1" max="1" width="19.5703125" customWidth="1"/>
    <col min="2" max="2" width="8.5703125" customWidth="1"/>
    <col min="3" max="3" width="7.7109375" customWidth="1"/>
    <col min="4" max="4" width="17.85546875" customWidth="1"/>
    <col min="5" max="5" width="8.42578125" customWidth="1"/>
    <col min="6" max="6" width="11.5703125" customWidth="1"/>
    <col min="7" max="7" width="7.85546875" customWidth="1"/>
    <col min="8" max="8" width="14.5703125" customWidth="1"/>
    <col min="9" max="9" width="14" customWidth="1"/>
    <col min="10" max="10" width="16.42578125" customWidth="1"/>
  </cols>
  <sheetData>
    <row r="1" spans="1:26" ht="15.75" thickBot="1">
      <c r="A1" s="284" t="s">
        <v>217</v>
      </c>
      <c r="B1" s="284"/>
      <c r="C1" s="284"/>
      <c r="D1" s="284"/>
      <c r="E1" s="284"/>
      <c r="F1" s="284"/>
      <c r="G1" s="284"/>
      <c r="H1" s="284"/>
      <c r="I1" s="284"/>
      <c r="J1" s="284"/>
      <c r="K1" s="276"/>
      <c r="L1" s="277"/>
      <c r="M1" s="277"/>
      <c r="N1" s="277"/>
      <c r="O1" s="277"/>
      <c r="P1" s="277"/>
      <c r="Q1" s="277"/>
      <c r="R1" s="277"/>
      <c r="S1" s="277"/>
      <c r="T1" s="277"/>
      <c r="U1" s="277"/>
      <c r="V1" s="277"/>
      <c r="W1" s="277"/>
      <c r="X1" s="277"/>
      <c r="Y1" s="277"/>
      <c r="Z1" s="277"/>
    </row>
    <row r="2" spans="1:26" ht="15.75" thickBot="1">
      <c r="A2" s="284" t="s">
        <v>264</v>
      </c>
      <c r="B2" s="284"/>
      <c r="C2" s="284"/>
      <c r="D2" s="284"/>
      <c r="E2" s="284"/>
      <c r="F2" s="284"/>
      <c r="G2" s="284"/>
      <c r="H2" s="284"/>
      <c r="I2" s="284"/>
      <c r="J2" s="284"/>
      <c r="K2" s="276"/>
      <c r="L2" s="277"/>
      <c r="M2" s="277"/>
      <c r="N2" s="277"/>
      <c r="O2" s="277"/>
      <c r="P2" s="277"/>
      <c r="Q2" s="277"/>
      <c r="R2" s="277"/>
      <c r="S2" s="277"/>
      <c r="T2" s="277"/>
      <c r="U2" s="277"/>
      <c r="V2" s="277"/>
      <c r="W2" s="277"/>
      <c r="X2" s="277"/>
      <c r="Y2" s="277"/>
      <c r="Z2" s="277"/>
    </row>
    <row r="3" spans="1:26" ht="42" customHeight="1" thickBot="1">
      <c r="A3" s="278" t="s">
        <v>185</v>
      </c>
      <c r="B3" s="278" t="s">
        <v>186</v>
      </c>
      <c r="C3" s="278" t="s">
        <v>187</v>
      </c>
      <c r="D3" s="278" t="s">
        <v>188</v>
      </c>
      <c r="E3" s="278" t="s">
        <v>189</v>
      </c>
      <c r="F3" s="278" t="s">
        <v>244</v>
      </c>
      <c r="G3" s="278" t="s">
        <v>245</v>
      </c>
      <c r="H3" s="278" t="s">
        <v>246</v>
      </c>
      <c r="I3" s="278" t="s">
        <v>190</v>
      </c>
      <c r="J3" s="278" t="s">
        <v>191</v>
      </c>
      <c r="K3" s="276"/>
      <c r="L3" s="277"/>
      <c r="M3" s="277"/>
      <c r="N3" s="277"/>
      <c r="O3" s="277"/>
      <c r="P3" s="277"/>
      <c r="Q3" s="277"/>
      <c r="R3" s="277"/>
      <c r="S3" s="277"/>
      <c r="T3" s="277"/>
      <c r="U3" s="277"/>
      <c r="V3" s="277"/>
      <c r="W3" s="277"/>
      <c r="X3" s="277"/>
      <c r="Y3" s="277"/>
      <c r="Z3" s="277"/>
    </row>
    <row r="4" spans="1:26" ht="49.5" customHeight="1" thickBot="1">
      <c r="A4" s="285" t="s">
        <v>192</v>
      </c>
      <c r="B4" s="285" t="s">
        <v>215</v>
      </c>
      <c r="C4" s="259" t="s">
        <v>195</v>
      </c>
      <c r="D4" s="259" t="s">
        <v>193</v>
      </c>
      <c r="E4" s="285" t="s">
        <v>194</v>
      </c>
      <c r="F4" s="259">
        <v>2</v>
      </c>
      <c r="G4" s="259">
        <v>1</v>
      </c>
      <c r="H4" s="279">
        <f>'VIGIA DIURNO 12X36'!H142</f>
        <v>10083.99050737134</v>
      </c>
      <c r="I4" s="279">
        <f>H4*G4</f>
        <v>10083.99050737134</v>
      </c>
      <c r="J4" s="279">
        <f>ROUND(I4*12,2)</f>
        <v>121007.89</v>
      </c>
      <c r="K4" s="276"/>
      <c r="L4" s="277"/>
      <c r="M4" s="277"/>
      <c r="N4" s="277"/>
      <c r="O4" s="277"/>
      <c r="P4" s="277"/>
      <c r="Q4" s="277"/>
      <c r="R4" s="277"/>
      <c r="S4" s="277"/>
      <c r="T4" s="277"/>
      <c r="U4" s="277"/>
      <c r="V4" s="277"/>
      <c r="W4" s="277"/>
      <c r="X4" s="277"/>
      <c r="Y4" s="277"/>
      <c r="Z4" s="277"/>
    </row>
    <row r="5" spans="1:26" ht="51.75" customHeight="1" thickBot="1">
      <c r="A5" s="285"/>
      <c r="B5" s="285"/>
      <c r="C5" s="259" t="s">
        <v>247</v>
      </c>
      <c r="D5" s="259" t="s">
        <v>248</v>
      </c>
      <c r="E5" s="285"/>
      <c r="F5" s="259">
        <v>2</v>
      </c>
      <c r="G5" s="259">
        <v>1</v>
      </c>
      <c r="H5" s="279">
        <f>'VIGIA NOTURNO 12X36'!H142</f>
        <v>10871.213479789645</v>
      </c>
      <c r="I5" s="279">
        <f>H5*G5</f>
        <v>10871.213479789645</v>
      </c>
      <c r="J5" s="279">
        <f>ROUND(I5*12,2)</f>
        <v>130454.56</v>
      </c>
      <c r="K5" s="276"/>
      <c r="L5" s="277"/>
      <c r="M5" s="277"/>
      <c r="N5" s="277"/>
      <c r="O5" s="277"/>
      <c r="P5" s="277"/>
      <c r="Q5" s="277"/>
      <c r="R5" s="277"/>
      <c r="S5" s="277"/>
      <c r="T5" s="277"/>
      <c r="U5" s="277"/>
      <c r="V5" s="277"/>
      <c r="W5" s="277"/>
      <c r="X5" s="277"/>
      <c r="Y5" s="277"/>
      <c r="Z5" s="277"/>
    </row>
    <row r="6" spans="1:26" ht="83.25" customHeight="1" thickBot="1">
      <c r="A6" s="259" t="s">
        <v>249</v>
      </c>
      <c r="B6" s="259" t="s">
        <v>215</v>
      </c>
      <c r="C6" s="259" t="s">
        <v>195</v>
      </c>
      <c r="D6" s="280" t="s">
        <v>250</v>
      </c>
      <c r="E6" s="259" t="s">
        <v>196</v>
      </c>
      <c r="F6" s="259">
        <v>1</v>
      </c>
      <c r="G6" s="259">
        <v>1</v>
      </c>
      <c r="H6" s="279">
        <f>'VIGIA DIURNO 5X2'!H142</f>
        <v>5612.6564219785541</v>
      </c>
      <c r="I6" s="279">
        <f>H6*G6</f>
        <v>5612.6564219785541</v>
      </c>
      <c r="J6" s="279">
        <f>ROUND(I6*12,2)</f>
        <v>67351.88</v>
      </c>
      <c r="K6" s="276"/>
      <c r="L6" s="277"/>
      <c r="M6" s="277"/>
      <c r="N6" s="277"/>
      <c r="O6" s="277"/>
      <c r="P6" s="277"/>
      <c r="Q6" s="277"/>
      <c r="R6" s="277"/>
      <c r="S6" s="277"/>
      <c r="T6" s="277"/>
      <c r="U6" s="277"/>
      <c r="V6" s="277"/>
      <c r="W6" s="277"/>
      <c r="X6" s="277"/>
      <c r="Y6" s="277"/>
      <c r="Z6" s="277"/>
    </row>
    <row r="7" spans="1:26" ht="51.75" customHeight="1" thickBot="1">
      <c r="A7" s="259" t="s">
        <v>218</v>
      </c>
      <c r="B7" s="259" t="s">
        <v>198</v>
      </c>
      <c r="C7" s="259" t="s">
        <v>195</v>
      </c>
      <c r="D7" s="286" t="s">
        <v>250</v>
      </c>
      <c r="E7" s="288" t="s">
        <v>196</v>
      </c>
      <c r="F7" s="259">
        <v>1</v>
      </c>
      <c r="G7" s="259">
        <v>1</v>
      </c>
      <c r="H7" s="279">
        <f>'PORTEIRO DIURNO 5X2'!H142</f>
        <v>6318.0952606848396</v>
      </c>
      <c r="I7" s="279">
        <f>H7*G7</f>
        <v>6318.0952606848396</v>
      </c>
      <c r="J7" s="279">
        <f>ROUND(I7*12,2)</f>
        <v>75817.14</v>
      </c>
      <c r="K7" s="276"/>
      <c r="L7" s="277"/>
      <c r="M7" s="277"/>
      <c r="N7" s="277"/>
      <c r="O7" s="277"/>
      <c r="P7" s="277"/>
      <c r="Q7" s="277"/>
      <c r="R7" s="277"/>
      <c r="S7" s="277"/>
      <c r="T7" s="277"/>
      <c r="U7" s="277"/>
      <c r="V7" s="277"/>
      <c r="W7" s="277"/>
      <c r="X7" s="277"/>
      <c r="Y7" s="277"/>
      <c r="Z7" s="277"/>
    </row>
    <row r="8" spans="1:26" ht="57.75" customHeight="1" thickBot="1">
      <c r="A8" s="259" t="s">
        <v>249</v>
      </c>
      <c r="B8" s="259" t="s">
        <v>198</v>
      </c>
      <c r="C8" s="259" t="s">
        <v>195</v>
      </c>
      <c r="D8" s="287"/>
      <c r="E8" s="289"/>
      <c r="F8" s="259">
        <v>1</v>
      </c>
      <c r="G8" s="259">
        <v>1</v>
      </c>
      <c r="H8" s="279">
        <f>'PORTEIRO DIURNO 5X2'!H142</f>
        <v>6318.0952606848396</v>
      </c>
      <c r="I8" s="279">
        <f>H8*G8</f>
        <v>6318.0952606848396</v>
      </c>
      <c r="J8" s="279">
        <f>ROUND(I8*12,2)</f>
        <v>75817.14</v>
      </c>
      <c r="K8" s="276"/>
      <c r="L8" s="277"/>
      <c r="M8" s="277"/>
      <c r="N8" s="277"/>
      <c r="O8" s="277"/>
      <c r="P8" s="277"/>
      <c r="Q8" s="277"/>
      <c r="R8" s="277"/>
      <c r="S8" s="277"/>
      <c r="T8" s="277"/>
      <c r="U8" s="277"/>
      <c r="V8" s="277"/>
      <c r="W8" s="277"/>
      <c r="X8" s="277"/>
      <c r="Y8" s="277"/>
      <c r="Z8" s="277"/>
    </row>
    <row r="9" spans="1:26" ht="15.75" thickBot="1">
      <c r="A9" s="310" t="s">
        <v>197</v>
      </c>
      <c r="B9" s="310"/>
      <c r="C9" s="310"/>
      <c r="D9" s="310"/>
      <c r="E9" s="310"/>
      <c r="F9" s="281">
        <f>SUM(F4:F8)</f>
        <v>7</v>
      </c>
      <c r="G9" s="281">
        <f>SUM(G4:G8)</f>
        <v>5</v>
      </c>
      <c r="H9" s="281" t="s">
        <v>16</v>
      </c>
      <c r="I9" s="282">
        <f>ROUND(SUM(I4:I8),2)</f>
        <v>39204.050000000003</v>
      </c>
      <c r="J9" s="282">
        <f>ROUND(SUM(J4:J8),2)</f>
        <v>470448.61</v>
      </c>
      <c r="K9" s="276"/>
      <c r="L9" s="277"/>
      <c r="M9" s="277"/>
      <c r="N9" s="277"/>
      <c r="O9" s="277"/>
      <c r="P9" s="277"/>
      <c r="Q9" s="277"/>
      <c r="R9" s="277"/>
      <c r="S9" s="277"/>
      <c r="T9" s="277"/>
      <c r="U9" s="277"/>
      <c r="V9" s="277"/>
      <c r="W9" s="277"/>
      <c r="X9" s="277"/>
      <c r="Y9" s="277"/>
      <c r="Z9" s="277"/>
    </row>
    <row r="10" spans="1:26" ht="89.25" customHeight="1" thickBot="1">
      <c r="A10" s="311" t="s">
        <v>260</v>
      </c>
      <c r="B10" s="312"/>
      <c r="C10" s="312"/>
      <c r="D10" s="312"/>
      <c r="E10" s="312"/>
      <c r="F10" s="312"/>
      <c r="G10" s="312"/>
      <c r="H10" s="312"/>
      <c r="I10" s="312"/>
      <c r="J10" s="313"/>
      <c r="K10" s="276"/>
      <c r="L10" s="277"/>
      <c r="M10" s="277"/>
      <c r="N10" s="277"/>
      <c r="O10" s="277"/>
      <c r="P10" s="277"/>
      <c r="Q10" s="277"/>
      <c r="R10" s="277"/>
      <c r="S10" s="277"/>
      <c r="T10" s="277"/>
      <c r="U10" s="277"/>
      <c r="V10" s="277"/>
      <c r="W10" s="277"/>
      <c r="X10" s="277"/>
      <c r="Y10" s="277"/>
      <c r="Z10" s="277"/>
    </row>
    <row r="11" spans="1:26" ht="15.75" thickBot="1">
      <c r="A11" s="284" t="s">
        <v>261</v>
      </c>
      <c r="B11" s="284"/>
      <c r="C11" s="284"/>
      <c r="D11" s="284"/>
      <c r="E11" s="284"/>
      <c r="F11" s="284"/>
      <c r="G11" s="284"/>
      <c r="H11" s="284"/>
      <c r="I11" s="284"/>
      <c r="J11" s="284"/>
      <c r="K11" s="276"/>
      <c r="L11" s="277"/>
      <c r="M11" s="277"/>
      <c r="N11" s="277"/>
      <c r="O11" s="277"/>
      <c r="P11" s="277"/>
      <c r="Q11" s="277"/>
      <c r="R11" s="277"/>
      <c r="S11" s="277"/>
      <c r="T11" s="277"/>
      <c r="U11" s="277"/>
      <c r="V11" s="277"/>
      <c r="W11" s="277"/>
      <c r="X11" s="277"/>
      <c r="Y11" s="277"/>
      <c r="Z11" s="277"/>
    </row>
    <row r="12" spans="1:26" ht="15.75" customHeight="1" thickBot="1">
      <c r="A12" s="293" t="s">
        <v>186</v>
      </c>
      <c r="B12" s="294"/>
      <c r="C12" s="295"/>
      <c r="D12" s="278" t="s">
        <v>24</v>
      </c>
      <c r="E12" s="293" t="s">
        <v>263</v>
      </c>
      <c r="F12" s="295"/>
      <c r="G12" s="293" t="s">
        <v>262</v>
      </c>
      <c r="H12" s="295"/>
      <c r="I12" s="293" t="s">
        <v>191</v>
      </c>
      <c r="J12" s="295"/>
      <c r="K12" s="276"/>
      <c r="L12" s="277"/>
      <c r="M12" s="277"/>
      <c r="N12" s="277"/>
      <c r="O12" s="277"/>
      <c r="P12" s="277"/>
      <c r="Q12" s="277"/>
      <c r="R12" s="277"/>
      <c r="S12" s="277"/>
      <c r="T12" s="277"/>
      <c r="U12" s="277"/>
      <c r="V12" s="277"/>
      <c r="W12" s="277"/>
      <c r="X12" s="277"/>
      <c r="Y12" s="277"/>
      <c r="Z12" s="277"/>
    </row>
    <row r="13" spans="1:26" ht="15.75" customHeight="1">
      <c r="A13" s="296" t="s">
        <v>265</v>
      </c>
      <c r="B13" s="296"/>
      <c r="C13" s="296"/>
      <c r="D13" s="283" t="s">
        <v>251</v>
      </c>
      <c r="E13" s="296">
        <v>334</v>
      </c>
      <c r="F13" s="296"/>
      <c r="G13" s="290">
        <f>ROUND((H4+H5)/720,2)</f>
        <v>29.1</v>
      </c>
      <c r="H13" s="290"/>
      <c r="I13" s="290">
        <f>E13*G13</f>
        <v>9719.4</v>
      </c>
      <c r="J13" s="290"/>
    </row>
    <row r="14" spans="1:26" ht="15.75" customHeight="1">
      <c r="A14" s="296" t="s">
        <v>266</v>
      </c>
      <c r="B14" s="296"/>
      <c r="C14" s="296"/>
      <c r="D14" s="283" t="s">
        <v>251</v>
      </c>
      <c r="E14" s="296">
        <v>144</v>
      </c>
      <c r="F14" s="296"/>
      <c r="G14" s="290">
        <f>ROUND((H7)/220,2)</f>
        <v>28.72</v>
      </c>
      <c r="H14" s="290"/>
      <c r="I14" s="290">
        <f>E14*G14</f>
        <v>4135.68</v>
      </c>
      <c r="J14" s="290"/>
    </row>
    <row r="15" spans="1:26">
      <c r="A15" s="302" t="s">
        <v>252</v>
      </c>
      <c r="B15" s="302"/>
      <c r="C15" s="302"/>
      <c r="D15" s="302"/>
      <c r="E15" s="302"/>
      <c r="F15" s="302"/>
      <c r="G15" s="300"/>
      <c r="H15" s="300"/>
      <c r="I15" s="300">
        <f>SUM(I13:I14)</f>
        <v>13855.08</v>
      </c>
      <c r="J15" s="300"/>
    </row>
    <row r="16" spans="1:26" ht="53.25" customHeight="1" thickBot="1">
      <c r="A16" s="291" t="s">
        <v>267</v>
      </c>
      <c r="B16" s="292"/>
      <c r="C16" s="292"/>
      <c r="D16" s="292"/>
      <c r="E16" s="292"/>
      <c r="F16" s="292"/>
      <c r="G16" s="292"/>
      <c r="H16" s="292"/>
      <c r="I16" s="292"/>
      <c r="J16" s="292"/>
    </row>
    <row r="17" spans="1:26" ht="15.75" thickBot="1">
      <c r="A17" s="284" t="s">
        <v>253</v>
      </c>
      <c r="B17" s="284"/>
      <c r="C17" s="284"/>
      <c r="D17" s="284"/>
      <c r="E17" s="284"/>
      <c r="F17" s="284"/>
      <c r="G17" s="284"/>
      <c r="H17" s="284"/>
      <c r="I17" s="284"/>
      <c r="J17" s="284"/>
      <c r="K17" s="276"/>
      <c r="L17" s="277"/>
      <c r="M17" s="277"/>
      <c r="N17" s="277"/>
      <c r="O17" s="277"/>
      <c r="P17" s="277"/>
      <c r="Q17" s="277"/>
      <c r="R17" s="277"/>
      <c r="S17" s="277"/>
      <c r="T17" s="277"/>
      <c r="U17" s="277"/>
      <c r="V17" s="277"/>
      <c r="W17" s="277"/>
      <c r="X17" s="277"/>
      <c r="Y17" s="277"/>
      <c r="Z17" s="277"/>
    </row>
    <row r="18" spans="1:26" ht="15.75" customHeight="1" thickBot="1">
      <c r="A18" s="293" t="s">
        <v>186</v>
      </c>
      <c r="B18" s="294"/>
      <c r="C18" s="295"/>
      <c r="D18" s="293" t="s">
        <v>24</v>
      </c>
      <c r="E18" s="294"/>
      <c r="F18" s="295"/>
      <c r="G18" s="293" t="s">
        <v>254</v>
      </c>
      <c r="H18" s="295"/>
      <c r="I18" s="293" t="s">
        <v>191</v>
      </c>
      <c r="J18" s="295"/>
      <c r="K18" s="276"/>
      <c r="L18" s="277"/>
      <c r="M18" s="277"/>
      <c r="N18" s="277"/>
      <c r="O18" s="277"/>
      <c r="P18" s="277"/>
      <c r="Q18" s="277"/>
      <c r="R18" s="277"/>
      <c r="S18" s="277"/>
      <c r="T18" s="277"/>
      <c r="U18" s="277"/>
      <c r="V18" s="277"/>
      <c r="W18" s="277"/>
      <c r="X18" s="277"/>
      <c r="Y18" s="277"/>
      <c r="Z18" s="277"/>
    </row>
    <row r="19" spans="1:26">
      <c r="A19" s="296" t="s">
        <v>255</v>
      </c>
      <c r="B19" s="296"/>
      <c r="C19" s="296"/>
      <c r="D19" s="297" t="s">
        <v>256</v>
      </c>
      <c r="E19" s="298"/>
      <c r="F19" s="299"/>
      <c r="G19" s="290">
        <v>455</v>
      </c>
      <c r="H19" s="290"/>
      <c r="I19" s="290">
        <f>G19*12</f>
        <v>5460</v>
      </c>
      <c r="J19" s="290"/>
    </row>
    <row r="20" spans="1:26" ht="18.75" customHeight="1">
      <c r="A20" s="302" t="s">
        <v>257</v>
      </c>
      <c r="B20" s="302"/>
      <c r="C20" s="302"/>
      <c r="D20" s="302"/>
      <c r="E20" s="302"/>
      <c r="F20" s="302"/>
      <c r="G20" s="300">
        <f>G19</f>
        <v>455</v>
      </c>
      <c r="H20" s="300"/>
      <c r="I20" s="300">
        <f>I19</f>
        <v>5460</v>
      </c>
      <c r="J20" s="300"/>
    </row>
    <row r="21" spans="1:26" ht="29.25" customHeight="1">
      <c r="A21" s="303" t="s">
        <v>268</v>
      </c>
      <c r="B21" s="304"/>
      <c r="C21" s="304"/>
      <c r="D21" s="304"/>
      <c r="E21" s="304"/>
      <c r="F21" s="305"/>
      <c r="G21" s="301" t="s">
        <v>258</v>
      </c>
      <c r="H21" s="301"/>
      <c r="I21" s="301" t="s">
        <v>259</v>
      </c>
      <c r="J21" s="301"/>
    </row>
    <row r="22" spans="1:26" ht="20.25" customHeight="1">
      <c r="A22" s="306"/>
      <c r="B22" s="307"/>
      <c r="C22" s="307"/>
      <c r="D22" s="307"/>
      <c r="E22" s="307"/>
      <c r="F22" s="308"/>
      <c r="G22" s="309">
        <f>I9+G19</f>
        <v>39659.050000000003</v>
      </c>
      <c r="H22" s="309"/>
      <c r="I22" s="309">
        <f>J9+I15+I20</f>
        <v>489763.69</v>
      </c>
      <c r="J22" s="309"/>
    </row>
  </sheetData>
  <mergeCells count="43">
    <mergeCell ref="A9:E9"/>
    <mergeCell ref="A11:J11"/>
    <mergeCell ref="A13:C13"/>
    <mergeCell ref="E13:F13"/>
    <mergeCell ref="A15:F15"/>
    <mergeCell ref="G15:H15"/>
    <mergeCell ref="I15:J15"/>
    <mergeCell ref="A10:J10"/>
    <mergeCell ref="A14:C14"/>
    <mergeCell ref="E14:F14"/>
    <mergeCell ref="G14:H14"/>
    <mergeCell ref="I14:J14"/>
    <mergeCell ref="G20:H20"/>
    <mergeCell ref="I20:J20"/>
    <mergeCell ref="G21:H21"/>
    <mergeCell ref="I21:J21"/>
    <mergeCell ref="A20:F20"/>
    <mergeCell ref="A21:F22"/>
    <mergeCell ref="G22:H22"/>
    <mergeCell ref="I22:J22"/>
    <mergeCell ref="A18:C18"/>
    <mergeCell ref="D18:F18"/>
    <mergeCell ref="G18:H18"/>
    <mergeCell ref="I18:J18"/>
    <mergeCell ref="A19:C19"/>
    <mergeCell ref="D19:F19"/>
    <mergeCell ref="G19:H19"/>
    <mergeCell ref="I19:J19"/>
    <mergeCell ref="A17:J17"/>
    <mergeCell ref="G13:H13"/>
    <mergeCell ref="I13:J13"/>
    <mergeCell ref="A16:J16"/>
    <mergeCell ref="A12:C12"/>
    <mergeCell ref="E12:F12"/>
    <mergeCell ref="G12:H12"/>
    <mergeCell ref="I12:J12"/>
    <mergeCell ref="A1:J1"/>
    <mergeCell ref="A4:A5"/>
    <mergeCell ref="B4:B5"/>
    <mergeCell ref="E4:E5"/>
    <mergeCell ref="D7:D8"/>
    <mergeCell ref="E7:E8"/>
    <mergeCell ref="A2:J2"/>
  </mergeCells>
  <pageMargins left="0.511811024" right="0.511811024" top="0.78740157499999996" bottom="0.78740157499999996" header="0.31496062000000002" footer="0.31496062000000002"/>
  <pageSetup paperSize="9" scale="72" orientation="portrait" r:id="rId1"/>
  <colBreaks count="1" manualBreakCount="1">
    <brk id="15" max="21"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7"/>
  <sheetViews>
    <sheetView topLeftCell="A49" zoomScale="80" zoomScaleNormal="80" workbookViewId="0">
      <selection activeCell="H106" sqref="H106"/>
    </sheetView>
  </sheetViews>
  <sheetFormatPr defaultRowHeight="15.75"/>
  <cols>
    <col min="1" max="1" width="4.85546875" style="202" bestFit="1" customWidth="1"/>
    <col min="2" max="2" width="74.85546875" style="203" bestFit="1" customWidth="1"/>
    <col min="3" max="3" width="5" style="203" customWidth="1"/>
    <col min="4" max="4" width="51" style="203" bestFit="1" customWidth="1"/>
    <col min="5" max="5" width="17.42578125" style="203" customWidth="1"/>
    <col min="6" max="6" width="18" style="203" customWidth="1"/>
    <col min="7" max="7" width="17.7109375" style="203" bestFit="1" customWidth="1"/>
    <col min="8" max="8" width="21.42578125" style="203" customWidth="1"/>
    <col min="9" max="9" width="15.7109375" bestFit="1" customWidth="1"/>
    <col min="11" max="11" width="31" customWidth="1"/>
    <col min="12" max="12" width="12.5703125" bestFit="1" customWidth="1"/>
    <col min="13" max="13" width="15.28515625" customWidth="1"/>
  </cols>
  <sheetData>
    <row r="1" spans="1:8" ht="15" customHeight="1">
      <c r="A1" s="358" t="s">
        <v>25</v>
      </c>
      <c r="B1" s="358"/>
      <c r="C1" s="358"/>
      <c r="D1" s="358"/>
      <c r="E1" s="358"/>
      <c r="F1" s="358"/>
      <c r="G1" s="358"/>
      <c r="H1" s="358"/>
    </row>
    <row r="2" spans="1:8" ht="15.75" customHeight="1" thickBot="1">
      <c r="A2" s="358" t="s">
        <v>26</v>
      </c>
      <c r="B2" s="358"/>
      <c r="C2" s="358"/>
      <c r="D2" s="358"/>
      <c r="E2" s="358"/>
      <c r="F2" s="358"/>
      <c r="G2" s="358"/>
      <c r="H2" s="358"/>
    </row>
    <row r="3" spans="1:8" s="3" customFormat="1" ht="18">
      <c r="A3" s="359" t="s">
        <v>27</v>
      </c>
      <c r="B3" s="360"/>
      <c r="C3" s="360"/>
      <c r="D3" s="360"/>
      <c r="E3" s="360"/>
      <c r="F3" s="360"/>
      <c r="G3" s="360"/>
      <c r="H3" s="361"/>
    </row>
    <row r="4" spans="1:8" ht="15">
      <c r="A4" s="4" t="s">
        <v>0</v>
      </c>
      <c r="B4" s="5" t="s">
        <v>28</v>
      </c>
      <c r="C4" s="362" t="s">
        <v>147</v>
      </c>
      <c r="D4" s="362"/>
      <c r="E4" s="363"/>
      <c r="F4" s="363"/>
      <c r="G4" s="363"/>
      <c r="H4" s="364"/>
    </row>
    <row r="5" spans="1:8" ht="15">
      <c r="A5" s="4" t="s">
        <v>1</v>
      </c>
      <c r="B5" s="5" t="s">
        <v>29</v>
      </c>
      <c r="C5" s="365" t="s">
        <v>147</v>
      </c>
      <c r="D5" s="365"/>
      <c r="E5" s="363"/>
      <c r="F5" s="363"/>
      <c r="G5" s="363"/>
      <c r="H5" s="364"/>
    </row>
    <row r="6" spans="1:8" ht="15">
      <c r="A6" s="4" t="s">
        <v>2</v>
      </c>
      <c r="B6" s="5" t="s">
        <v>30</v>
      </c>
      <c r="C6" s="5"/>
      <c r="D6" s="6" t="s">
        <v>148</v>
      </c>
      <c r="E6" s="363"/>
      <c r="F6" s="363"/>
      <c r="G6" s="363"/>
      <c r="H6" s="364"/>
    </row>
    <row r="7" spans="1:8" s="3" customFormat="1" ht="18">
      <c r="A7" s="349" t="s">
        <v>31</v>
      </c>
      <c r="B7" s="344"/>
      <c r="C7" s="344"/>
      <c r="D7" s="344"/>
      <c r="E7" s="344"/>
      <c r="F7" s="344"/>
      <c r="G7" s="344"/>
      <c r="H7" s="345"/>
    </row>
    <row r="8" spans="1:8" ht="15">
      <c r="A8" s="7" t="s">
        <v>0</v>
      </c>
      <c r="B8" s="8" t="s">
        <v>32</v>
      </c>
      <c r="C8" s="354" t="s">
        <v>147</v>
      </c>
      <c r="D8" s="355"/>
      <c r="E8" s="9"/>
      <c r="F8" s="9"/>
      <c r="G8" s="9"/>
      <c r="H8" s="10"/>
    </row>
    <row r="9" spans="1:8">
      <c r="A9" s="7" t="s">
        <v>1</v>
      </c>
      <c r="B9" s="8" t="s">
        <v>33</v>
      </c>
      <c r="C9" s="356" t="s">
        <v>220</v>
      </c>
      <c r="D9" s="356"/>
      <c r="E9" s="11"/>
      <c r="F9" s="11"/>
      <c r="G9" s="11"/>
      <c r="H9" s="12"/>
    </row>
    <row r="10" spans="1:8" ht="15" customHeight="1">
      <c r="A10" s="7" t="s">
        <v>2</v>
      </c>
      <c r="B10" s="8" t="s">
        <v>34</v>
      </c>
      <c r="C10" s="357" t="s">
        <v>221</v>
      </c>
      <c r="D10" s="357"/>
      <c r="E10" s="357"/>
      <c r="F10" s="11"/>
      <c r="G10" s="11"/>
      <c r="H10" s="12"/>
    </row>
    <row r="11" spans="1:8" ht="15">
      <c r="A11" s="7" t="s">
        <v>3</v>
      </c>
      <c r="B11" s="8" t="s">
        <v>35</v>
      </c>
      <c r="C11" s="357">
        <v>12</v>
      </c>
      <c r="D11" s="357"/>
      <c r="E11" s="11"/>
      <c r="F11" s="11"/>
      <c r="G11" s="11"/>
      <c r="H11" s="12"/>
    </row>
    <row r="12" spans="1:8" s="3" customFormat="1" ht="18">
      <c r="A12" s="349" t="s">
        <v>36</v>
      </c>
      <c r="B12" s="344"/>
      <c r="C12" s="344"/>
      <c r="D12" s="344"/>
      <c r="E12" s="344"/>
      <c r="F12" s="344"/>
      <c r="G12" s="344"/>
      <c r="H12" s="345"/>
    </row>
    <row r="13" spans="1:8" ht="15.75" customHeight="1">
      <c r="A13" s="7"/>
      <c r="B13" s="13" t="s">
        <v>37</v>
      </c>
      <c r="C13" s="13"/>
      <c r="D13" s="14" t="s">
        <v>38</v>
      </c>
      <c r="E13" s="350" t="s">
        <v>39</v>
      </c>
      <c r="F13" s="350"/>
      <c r="G13" s="350"/>
      <c r="H13" s="15" t="s">
        <v>24</v>
      </c>
    </row>
    <row r="14" spans="1:8" ht="15">
      <c r="A14" s="7" t="s">
        <v>0</v>
      </c>
      <c r="B14" s="16" t="s">
        <v>241</v>
      </c>
      <c r="C14" s="17"/>
      <c r="D14" s="18" t="s">
        <v>242</v>
      </c>
      <c r="E14" s="351">
        <v>1</v>
      </c>
      <c r="F14" s="351"/>
      <c r="G14" s="351"/>
      <c r="H14" s="19" t="s">
        <v>40</v>
      </c>
    </row>
    <row r="15" spans="1:8" ht="15">
      <c r="A15" s="7" t="s">
        <v>1</v>
      </c>
      <c r="B15" s="8"/>
      <c r="C15" s="8"/>
      <c r="D15" s="260"/>
      <c r="E15" s="352"/>
      <c r="F15" s="352"/>
      <c r="G15" s="352"/>
      <c r="H15" s="353"/>
    </row>
    <row r="16" spans="1:8" ht="15">
      <c r="A16" s="7" t="s">
        <v>2</v>
      </c>
      <c r="B16" s="8"/>
      <c r="C16" s="8"/>
      <c r="D16" s="260"/>
      <c r="E16" s="352"/>
      <c r="F16" s="352"/>
      <c r="G16" s="352"/>
      <c r="H16" s="353"/>
    </row>
    <row r="17" spans="1:11" s="3" customFormat="1" ht="18">
      <c r="A17" s="21"/>
      <c r="B17" s="344" t="s">
        <v>41</v>
      </c>
      <c r="C17" s="344"/>
      <c r="D17" s="344"/>
      <c r="E17" s="344"/>
      <c r="F17" s="344"/>
      <c r="G17" s="344"/>
      <c r="H17" s="345"/>
    </row>
    <row r="18" spans="1:11" ht="18">
      <c r="A18" s="346" t="s">
        <v>42</v>
      </c>
      <c r="B18" s="347"/>
      <c r="C18" s="347"/>
      <c r="D18" s="347"/>
      <c r="E18" s="347"/>
      <c r="F18" s="347"/>
      <c r="G18" s="347"/>
      <c r="H18" s="348"/>
    </row>
    <row r="19" spans="1:11" ht="15">
      <c r="A19" s="7">
        <v>1</v>
      </c>
      <c r="B19" s="8" t="s">
        <v>37</v>
      </c>
      <c r="C19" s="8"/>
      <c r="D19" s="16" t="str">
        <f>B14</f>
        <v xml:space="preserve">VIGIA </v>
      </c>
      <c r="E19" s="16"/>
      <c r="F19" s="16"/>
      <c r="G19" s="16"/>
      <c r="H19" s="22"/>
    </row>
    <row r="20" spans="1:11" ht="15">
      <c r="A20" s="7">
        <v>2</v>
      </c>
      <c r="B20" s="8" t="s">
        <v>43</v>
      </c>
      <c r="C20" s="8"/>
      <c r="D20" s="23" t="s">
        <v>216</v>
      </c>
      <c r="E20" s="23"/>
      <c r="F20" s="23"/>
      <c r="G20" s="23"/>
      <c r="H20" s="24"/>
    </row>
    <row r="21" spans="1:11" ht="15">
      <c r="A21" s="7">
        <v>3</v>
      </c>
      <c r="B21" s="8" t="s">
        <v>44</v>
      </c>
      <c r="C21" s="8"/>
      <c r="D21" s="25">
        <v>1481.66</v>
      </c>
      <c r="E21" s="26"/>
      <c r="F21" s="26"/>
      <c r="G21" s="26"/>
      <c r="H21" s="27"/>
    </row>
    <row r="22" spans="1:11" ht="15">
      <c r="A22" s="4">
        <v>4</v>
      </c>
      <c r="B22" s="20" t="s">
        <v>45</v>
      </c>
      <c r="C22" s="20"/>
      <c r="D22" s="11" t="s">
        <v>241</v>
      </c>
      <c r="E22" s="11"/>
      <c r="F22" s="11"/>
      <c r="G22" s="11"/>
      <c r="H22" s="12"/>
      <c r="K22" s="28"/>
    </row>
    <row r="23" spans="1:11" thickBot="1">
      <c r="A23" s="29">
        <v>5</v>
      </c>
      <c r="B23" s="30" t="s">
        <v>46</v>
      </c>
      <c r="C23" s="30"/>
      <c r="D23" s="31" t="s">
        <v>47</v>
      </c>
      <c r="E23" s="31"/>
      <c r="F23" s="31"/>
      <c r="G23" s="31"/>
      <c r="H23" s="32"/>
      <c r="K23" s="28"/>
    </row>
    <row r="24" spans="1:11" thickBot="1">
      <c r="A24" s="33"/>
      <c r="B24" s="34"/>
      <c r="C24" s="34"/>
      <c r="D24" s="35"/>
      <c r="E24" s="35"/>
      <c r="F24" s="35"/>
      <c r="G24" s="35"/>
      <c r="H24" s="35"/>
      <c r="K24" s="28"/>
    </row>
    <row r="25" spans="1:11" s="3" customFormat="1" ht="23.25">
      <c r="A25" s="36">
        <v>1</v>
      </c>
      <c r="B25" s="317" t="s">
        <v>48</v>
      </c>
      <c r="C25" s="317"/>
      <c r="D25" s="317"/>
      <c r="E25" s="317"/>
      <c r="F25" s="317"/>
      <c r="G25" s="317"/>
      <c r="H25" s="318"/>
      <c r="K25" s="37"/>
    </row>
    <row r="26" spans="1:11">
      <c r="A26" s="38" t="s">
        <v>0</v>
      </c>
      <c r="B26" s="39" t="s">
        <v>49</v>
      </c>
      <c r="C26" s="39"/>
      <c r="D26" s="40"/>
      <c r="E26" s="41"/>
      <c r="F26" s="41"/>
      <c r="G26" s="54"/>
      <c r="H26" s="204">
        <f>D21</f>
        <v>1481.66</v>
      </c>
      <c r="K26" s="28"/>
    </row>
    <row r="27" spans="1:11">
      <c r="A27" s="38" t="s">
        <v>1</v>
      </c>
      <c r="B27" s="42" t="s">
        <v>200</v>
      </c>
      <c r="C27" s="43"/>
      <c r="D27" s="261" t="s">
        <v>226</v>
      </c>
      <c r="E27" s="45">
        <v>0</v>
      </c>
      <c r="F27" s="50"/>
      <c r="G27" s="41"/>
      <c r="H27" s="262">
        <v>27.13</v>
      </c>
      <c r="K27" s="28"/>
    </row>
    <row r="28" spans="1:11">
      <c r="A28" s="38" t="s">
        <v>2</v>
      </c>
      <c r="B28" s="42" t="s">
        <v>50</v>
      </c>
      <c r="C28" s="43"/>
      <c r="D28" s="46" t="s">
        <v>51</v>
      </c>
      <c r="E28" s="47" t="s">
        <v>22</v>
      </c>
      <c r="F28" s="46" t="s">
        <v>52</v>
      </c>
      <c r="G28" s="48"/>
      <c r="H28" s="223">
        <v>0</v>
      </c>
      <c r="K28" s="28"/>
    </row>
    <row r="29" spans="1:11">
      <c r="A29" s="38"/>
      <c r="B29" s="42"/>
      <c r="C29" s="43"/>
      <c r="D29" s="44" t="s">
        <v>53</v>
      </c>
      <c r="E29" s="45">
        <v>0</v>
      </c>
      <c r="F29" s="49">
        <v>0</v>
      </c>
      <c r="G29" s="48"/>
      <c r="H29" s="223">
        <v>0</v>
      </c>
      <c r="K29" s="28"/>
    </row>
    <row r="30" spans="1:11">
      <c r="A30" s="38" t="s">
        <v>3</v>
      </c>
      <c r="B30" s="42" t="s">
        <v>54</v>
      </c>
      <c r="C30" s="43"/>
      <c r="D30" s="263"/>
      <c r="E30" s="263"/>
      <c r="F30" s="263"/>
      <c r="G30" s="39"/>
      <c r="H30" s="223">
        <v>0</v>
      </c>
    </row>
    <row r="31" spans="1:11">
      <c r="A31" s="38" t="s">
        <v>4</v>
      </c>
      <c r="B31" s="42" t="s">
        <v>227</v>
      </c>
      <c r="C31" s="43"/>
      <c r="D31" s="261" t="s">
        <v>228</v>
      </c>
      <c r="E31" s="264">
        <f>((H26+H27)/220)*1.5</f>
        <v>10.287204545454546</v>
      </c>
      <c r="F31" s="265">
        <v>0</v>
      </c>
      <c r="G31" s="48"/>
      <c r="H31" s="224">
        <f>E31*F31</f>
        <v>0</v>
      </c>
    </row>
    <row r="32" spans="1:11">
      <c r="A32" s="38" t="s">
        <v>5</v>
      </c>
      <c r="B32" s="42" t="s">
        <v>229</v>
      </c>
      <c r="C32" s="42"/>
      <c r="D32" s="39"/>
      <c r="E32" s="266"/>
      <c r="F32" s="48"/>
      <c r="G32" s="48"/>
      <c r="H32" s="219">
        <f>H31*E32</f>
        <v>0</v>
      </c>
    </row>
    <row r="33" spans="1:11" ht="16.5" thickBot="1">
      <c r="A33" s="205"/>
      <c r="B33" s="206" t="s">
        <v>16</v>
      </c>
      <c r="C33" s="206"/>
      <c r="D33" s="103"/>
      <c r="E33" s="103"/>
      <c r="F33" s="207"/>
      <c r="G33" s="207"/>
      <c r="H33" s="208">
        <f>ROUND(SUM(H26:H32),2)</f>
        <v>1508.79</v>
      </c>
    </row>
    <row r="34" spans="1:11" ht="15.75" customHeight="1" thickBot="1">
      <c r="A34" s="343" t="s">
        <v>55</v>
      </c>
      <c r="B34" s="343"/>
      <c r="C34" s="343"/>
      <c r="D34" s="343"/>
      <c r="E34" s="343"/>
      <c r="F34" s="343"/>
      <c r="G34" s="343"/>
      <c r="H34" s="343"/>
    </row>
    <row r="35" spans="1:11" s="52" customFormat="1" ht="23.25">
      <c r="A35" s="36">
        <v>2</v>
      </c>
      <c r="B35" s="317" t="s">
        <v>56</v>
      </c>
      <c r="C35" s="317"/>
      <c r="D35" s="317"/>
      <c r="E35" s="317"/>
      <c r="F35" s="317"/>
      <c r="G35" s="317"/>
      <c r="H35" s="318"/>
    </row>
    <row r="36" spans="1:11">
      <c r="A36" s="53" t="s">
        <v>7</v>
      </c>
      <c r="B36" s="341" t="s">
        <v>57</v>
      </c>
      <c r="C36" s="341"/>
      <c r="D36" s="341"/>
      <c r="E36" s="341"/>
      <c r="F36" s="341"/>
      <c r="G36" s="341"/>
      <c r="H36" s="342"/>
    </row>
    <row r="37" spans="1:11">
      <c r="A37" s="38" t="s">
        <v>0</v>
      </c>
      <c r="B37" s="256" t="s">
        <v>58</v>
      </c>
      <c r="C37" s="256"/>
      <c r="D37" s="256"/>
      <c r="E37" s="39"/>
      <c r="F37" s="54"/>
      <c r="G37" s="55">
        <v>8.3299999999999999E-2</v>
      </c>
      <c r="H37" s="56">
        <f>SUM($H$33*G37)</f>
        <v>125.68220699999999</v>
      </c>
    </row>
    <row r="38" spans="1:11">
      <c r="A38" s="38" t="s">
        <v>1</v>
      </c>
      <c r="B38" s="39" t="s">
        <v>59</v>
      </c>
      <c r="C38" s="39"/>
      <c r="D38" s="39"/>
      <c r="E38" s="39"/>
      <c r="F38" s="57"/>
      <c r="G38" s="58">
        <v>0.121</v>
      </c>
      <c r="H38" s="56">
        <f>SUM($H$33*G38)</f>
        <v>182.56358999999998</v>
      </c>
    </row>
    <row r="39" spans="1:11" ht="16.5" thickBot="1">
      <c r="A39" s="165"/>
      <c r="B39" s="206" t="s">
        <v>16</v>
      </c>
      <c r="C39" s="206"/>
      <c r="D39" s="103"/>
      <c r="E39" s="103"/>
      <c r="F39" s="207"/>
      <c r="G39" s="214">
        <f>G37+G38</f>
        <v>0.20429999999999998</v>
      </c>
      <c r="H39" s="208">
        <f>H37+H38</f>
        <v>308.24579699999998</v>
      </c>
      <c r="K39" s="163"/>
    </row>
    <row r="40" spans="1:11" ht="15">
      <c r="A40" s="343"/>
      <c r="B40" s="343"/>
      <c r="C40" s="343"/>
      <c r="D40" s="343"/>
      <c r="E40" s="343"/>
      <c r="F40" s="343"/>
      <c r="G40" s="343"/>
      <c r="H40" s="343"/>
    </row>
    <row r="41" spans="1:11" s="3" customFormat="1">
      <c r="A41" s="60" t="s">
        <v>8</v>
      </c>
      <c r="B41" s="321" t="s">
        <v>60</v>
      </c>
      <c r="C41" s="321"/>
      <c r="D41" s="321"/>
      <c r="E41" s="321"/>
      <c r="F41" s="321"/>
      <c r="G41" s="321"/>
      <c r="H41" s="322"/>
    </row>
    <row r="42" spans="1:11">
      <c r="A42" s="38" t="s">
        <v>0</v>
      </c>
      <c r="B42" s="42" t="s">
        <v>10</v>
      </c>
      <c r="C42" s="42"/>
      <c r="D42" s="39"/>
      <c r="E42" s="39"/>
      <c r="F42" s="54"/>
      <c r="G42" s="55">
        <v>0.2</v>
      </c>
      <c r="H42" s="56">
        <f>SUM($H$33+$H$39)*G42</f>
        <v>363.40715940000001</v>
      </c>
    </row>
    <row r="43" spans="1:11">
      <c r="A43" s="38" t="s">
        <v>1</v>
      </c>
      <c r="B43" s="42" t="s">
        <v>61</v>
      </c>
      <c r="C43" s="42"/>
      <c r="D43" s="61"/>
      <c r="E43" s="61"/>
      <c r="F43" s="54"/>
      <c r="G43" s="62">
        <v>2.5000000000000001E-2</v>
      </c>
      <c r="H43" s="56">
        <f>SUM($H$33+$H$39)*G43</f>
        <v>45.425894925000001</v>
      </c>
    </row>
    <row r="44" spans="1:11">
      <c r="A44" s="38" t="s">
        <v>2</v>
      </c>
      <c r="B44" s="42" t="s">
        <v>62</v>
      </c>
      <c r="C44" s="42"/>
      <c r="D44" s="61"/>
      <c r="E44" s="61"/>
      <c r="F44" s="54"/>
      <c r="G44" s="218">
        <f>1*3/100</f>
        <v>0.03</v>
      </c>
      <c r="H44" s="56">
        <f t="shared" ref="H44:H48" si="0">SUM($H$33+$H$39)*G44</f>
        <v>54.51107391</v>
      </c>
    </row>
    <row r="45" spans="1:11">
      <c r="A45" s="38" t="s">
        <v>3</v>
      </c>
      <c r="B45" s="42" t="s">
        <v>63</v>
      </c>
      <c r="C45" s="42"/>
      <c r="D45" s="39"/>
      <c r="E45" s="39"/>
      <c r="F45" s="54"/>
      <c r="G45" s="62">
        <v>1.4999999999999999E-2</v>
      </c>
      <c r="H45" s="56">
        <f t="shared" si="0"/>
        <v>27.255536955</v>
      </c>
    </row>
    <row r="46" spans="1:11">
      <c r="A46" s="38" t="s">
        <v>4</v>
      </c>
      <c r="B46" s="42" t="s">
        <v>64</v>
      </c>
      <c r="C46" s="42"/>
      <c r="D46" s="39"/>
      <c r="E46" s="39"/>
      <c r="F46" s="54"/>
      <c r="G46" s="62">
        <v>0.01</v>
      </c>
      <c r="H46" s="56">
        <f t="shared" si="0"/>
        <v>18.170357970000001</v>
      </c>
    </row>
    <row r="47" spans="1:11">
      <c r="A47" s="38" t="s">
        <v>5</v>
      </c>
      <c r="B47" s="42" t="s">
        <v>11</v>
      </c>
      <c r="C47" s="42"/>
      <c r="D47" s="39"/>
      <c r="E47" s="39"/>
      <c r="F47" s="54"/>
      <c r="G47" s="63">
        <v>6.0000000000000001E-3</v>
      </c>
      <c r="H47" s="56">
        <f t="shared" si="0"/>
        <v>10.902214782</v>
      </c>
    </row>
    <row r="48" spans="1:11">
      <c r="A48" s="38" t="s">
        <v>12</v>
      </c>
      <c r="B48" s="42" t="s">
        <v>13</v>
      </c>
      <c r="C48" s="42"/>
      <c r="D48" s="64"/>
      <c r="E48" s="64"/>
      <c r="F48" s="64"/>
      <c r="G48" s="62">
        <v>2E-3</v>
      </c>
      <c r="H48" s="56">
        <f t="shared" si="0"/>
        <v>3.6340715939999999</v>
      </c>
    </row>
    <row r="49" spans="1:9">
      <c r="A49" s="38" t="s">
        <v>5</v>
      </c>
      <c r="B49" s="42" t="s">
        <v>14</v>
      </c>
      <c r="C49" s="42"/>
      <c r="D49" s="39"/>
      <c r="E49" s="39"/>
      <c r="F49" s="54"/>
      <c r="G49" s="62">
        <v>0.08</v>
      </c>
      <c r="H49" s="56">
        <f>SUM($H$33+$H$39)*G49</f>
        <v>145.36286376000001</v>
      </c>
    </row>
    <row r="50" spans="1:9">
      <c r="A50" s="119"/>
      <c r="B50" s="120" t="s">
        <v>16</v>
      </c>
      <c r="C50" s="120"/>
      <c r="D50" s="209"/>
      <c r="E50" s="209"/>
      <c r="F50" s="210"/>
      <c r="G50" s="123">
        <f>SUM(G42:G49)</f>
        <v>0.36800000000000005</v>
      </c>
      <c r="H50" s="124">
        <f>SUM(H42:H49)</f>
        <v>668.66917329600005</v>
      </c>
    </row>
    <row r="51" spans="1:9" ht="15">
      <c r="A51" s="319" t="s">
        <v>65</v>
      </c>
      <c r="B51" s="319"/>
      <c r="C51" s="319"/>
      <c r="D51" s="319"/>
      <c r="E51" s="319"/>
      <c r="F51" s="319"/>
      <c r="G51" s="319"/>
      <c r="H51" s="319"/>
    </row>
    <row r="52" spans="1:9" ht="15">
      <c r="A52" s="319" t="s">
        <v>66</v>
      </c>
      <c r="B52" s="319"/>
      <c r="C52" s="319"/>
      <c r="D52" s="319"/>
      <c r="E52" s="319"/>
      <c r="F52" s="319"/>
      <c r="G52" s="319"/>
      <c r="H52" s="319"/>
    </row>
    <row r="53" spans="1:9" ht="15">
      <c r="A53" s="319" t="s">
        <v>67</v>
      </c>
      <c r="B53" s="319"/>
      <c r="C53" s="319"/>
      <c r="D53" s="319"/>
      <c r="E53" s="319"/>
      <c r="F53" s="319"/>
      <c r="G53" s="319"/>
      <c r="H53" s="319"/>
    </row>
    <row r="54" spans="1:9" s="3" customFormat="1">
      <c r="A54" s="60" t="s">
        <v>15</v>
      </c>
      <c r="B54" s="321" t="s">
        <v>68</v>
      </c>
      <c r="C54" s="321"/>
      <c r="D54" s="321"/>
      <c r="E54" s="321"/>
      <c r="F54" s="321"/>
      <c r="G54" s="321"/>
      <c r="H54" s="322"/>
    </row>
    <row r="55" spans="1:9">
      <c r="A55" s="38"/>
      <c r="B55" s="65"/>
      <c r="C55" s="66"/>
      <c r="D55" s="211" t="s">
        <v>69</v>
      </c>
      <c r="E55" s="212" t="s">
        <v>70</v>
      </c>
      <c r="F55" s="212" t="s">
        <v>71</v>
      </c>
      <c r="G55" s="212" t="s">
        <v>72</v>
      </c>
      <c r="H55" s="67"/>
    </row>
    <row r="56" spans="1:9">
      <c r="A56" s="327" t="s">
        <v>0</v>
      </c>
      <c r="B56" s="68" t="s">
        <v>73</v>
      </c>
      <c r="C56" s="69"/>
      <c r="D56" s="330">
        <v>22</v>
      </c>
      <c r="E56" s="331">
        <v>2</v>
      </c>
      <c r="F56" s="333">
        <v>4.5</v>
      </c>
      <c r="G56" s="334">
        <v>0.06</v>
      </c>
      <c r="H56" s="51">
        <f>F56*E56*D56</f>
        <v>198</v>
      </c>
    </row>
    <row r="57" spans="1:9">
      <c r="A57" s="328"/>
      <c r="B57" s="70" t="s">
        <v>74</v>
      </c>
      <c r="C57" s="69"/>
      <c r="D57" s="330"/>
      <c r="E57" s="332"/>
      <c r="F57" s="332"/>
      <c r="G57" s="332"/>
      <c r="H57" s="51">
        <f>H26*G56</f>
        <v>88.899600000000007</v>
      </c>
    </row>
    <row r="58" spans="1:9">
      <c r="A58" s="329"/>
      <c r="B58" s="71" t="s">
        <v>75</v>
      </c>
      <c r="C58" s="257"/>
      <c r="D58" s="267"/>
      <c r="E58" s="73"/>
      <c r="F58" s="73"/>
      <c r="G58" s="74"/>
      <c r="H58" s="75">
        <f>H56-H57</f>
        <v>109.10039999999999</v>
      </c>
    </row>
    <row r="59" spans="1:9">
      <c r="A59" s="327" t="s">
        <v>1</v>
      </c>
      <c r="B59" s="68" t="s">
        <v>230</v>
      </c>
      <c r="C59" s="69"/>
      <c r="D59" s="330">
        <v>1</v>
      </c>
      <c r="E59" s="331">
        <v>1</v>
      </c>
      <c r="F59" s="333">
        <v>414</v>
      </c>
      <c r="G59" s="334">
        <v>0.2</v>
      </c>
      <c r="H59" s="51">
        <f>F59*E59*D59</f>
        <v>414</v>
      </c>
    </row>
    <row r="60" spans="1:9">
      <c r="A60" s="328"/>
      <c r="B60" s="70" t="s">
        <v>74</v>
      </c>
      <c r="C60" s="69"/>
      <c r="D60" s="330"/>
      <c r="E60" s="332"/>
      <c r="F60" s="332"/>
      <c r="G60" s="332"/>
      <c r="H60" s="51">
        <f>H59*G59</f>
        <v>82.800000000000011</v>
      </c>
    </row>
    <row r="61" spans="1:9">
      <c r="A61" s="329"/>
      <c r="B61" s="76" t="s">
        <v>75</v>
      </c>
      <c r="C61" s="77"/>
      <c r="D61" s="77"/>
      <c r="E61" s="77"/>
      <c r="F61" s="78"/>
      <c r="G61" s="78"/>
      <c r="H61" s="75">
        <f>H59-H60</f>
        <v>331.2</v>
      </c>
    </row>
    <row r="62" spans="1:9">
      <c r="A62" s="258" t="s">
        <v>2</v>
      </c>
      <c r="B62" s="340" t="s">
        <v>231</v>
      </c>
      <c r="C62" s="340"/>
      <c r="D62" s="340"/>
      <c r="E62" s="340"/>
      <c r="F62" s="78"/>
      <c r="G62" s="79"/>
      <c r="H62" s="219">
        <v>62.5</v>
      </c>
    </row>
    <row r="63" spans="1:9" ht="15">
      <c r="A63" s="258" t="s">
        <v>3</v>
      </c>
      <c r="B63" s="324" t="s">
        <v>232</v>
      </c>
      <c r="C63" s="324"/>
      <c r="D63" s="324"/>
      <c r="E63" s="324"/>
      <c r="F63" s="80"/>
      <c r="G63" s="81"/>
      <c r="H63" s="268">
        <v>20.5</v>
      </c>
      <c r="I63" s="127"/>
    </row>
    <row r="64" spans="1:9">
      <c r="A64" s="258" t="s">
        <v>4</v>
      </c>
      <c r="B64" s="324" t="s">
        <v>233</v>
      </c>
      <c r="C64" s="324"/>
      <c r="D64" s="324"/>
      <c r="E64" s="324"/>
      <c r="F64" s="80"/>
      <c r="G64" s="81"/>
      <c r="H64" s="219">
        <v>20.5</v>
      </c>
    </row>
    <row r="65" spans="1:8">
      <c r="A65" s="258" t="s">
        <v>5</v>
      </c>
      <c r="B65" s="324" t="s">
        <v>234</v>
      </c>
      <c r="C65" s="324"/>
      <c r="D65" s="324"/>
      <c r="E65" s="324"/>
      <c r="F65" s="80"/>
      <c r="G65" s="81"/>
      <c r="H65" s="219">
        <f>H61/12</f>
        <v>27.599999999999998</v>
      </c>
    </row>
    <row r="66" spans="1:8">
      <c r="A66" s="258" t="s">
        <v>12</v>
      </c>
      <c r="B66" s="324" t="s">
        <v>235</v>
      </c>
      <c r="C66" s="324"/>
      <c r="D66" s="324"/>
      <c r="E66" s="324"/>
      <c r="F66" s="80"/>
      <c r="G66" s="81"/>
      <c r="H66" s="219">
        <f>((137.87*6)/12)*0.005</f>
        <v>0.34467500000000001</v>
      </c>
    </row>
    <row r="67" spans="1:8" ht="16.5" thickBot="1">
      <c r="A67" s="82"/>
      <c r="B67" s="323" t="s">
        <v>16</v>
      </c>
      <c r="C67" s="323"/>
      <c r="D67" s="323"/>
      <c r="E67" s="323"/>
      <c r="F67" s="83"/>
      <c r="G67" s="83"/>
      <c r="H67" s="84">
        <f>H58+H61+H62+H63+H64+H65+H66</f>
        <v>571.74507500000004</v>
      </c>
    </row>
    <row r="68" spans="1:8" ht="15.75" customHeight="1">
      <c r="A68" s="319" t="s">
        <v>76</v>
      </c>
      <c r="B68" s="319"/>
      <c r="C68" s="319"/>
      <c r="D68" s="319"/>
      <c r="E68" s="319"/>
      <c r="F68" s="319"/>
      <c r="G68" s="319"/>
      <c r="H68" s="319"/>
    </row>
    <row r="69" spans="1:8" ht="15">
      <c r="A69" s="319" t="s">
        <v>77</v>
      </c>
      <c r="B69" s="319"/>
      <c r="C69" s="319"/>
      <c r="D69" s="319"/>
      <c r="E69" s="319"/>
      <c r="F69" s="319"/>
      <c r="G69" s="319"/>
      <c r="H69" s="319"/>
    </row>
    <row r="70" spans="1:8" s="3" customFormat="1" ht="18">
      <c r="A70" s="314" t="s">
        <v>78</v>
      </c>
      <c r="B70" s="315"/>
      <c r="C70" s="315"/>
      <c r="D70" s="315"/>
      <c r="E70" s="315"/>
      <c r="F70" s="315"/>
      <c r="G70" s="315"/>
      <c r="H70" s="316"/>
    </row>
    <row r="71" spans="1:8">
      <c r="A71" s="85" t="s">
        <v>7</v>
      </c>
      <c r="B71" s="86" t="s">
        <v>79</v>
      </c>
      <c r="C71" s="86"/>
      <c r="D71" s="87"/>
      <c r="E71" s="87"/>
      <c r="F71" s="88"/>
      <c r="G71" s="88"/>
      <c r="H71" s="89">
        <f>H39</f>
        <v>308.24579699999998</v>
      </c>
    </row>
    <row r="72" spans="1:8">
      <c r="A72" s="85" t="s">
        <v>8</v>
      </c>
      <c r="B72" s="86" t="s">
        <v>9</v>
      </c>
      <c r="C72" s="86"/>
      <c r="D72" s="87"/>
      <c r="E72" s="87"/>
      <c r="F72" s="88"/>
      <c r="G72" s="88"/>
      <c r="H72" s="89">
        <f>H50</f>
        <v>668.66917329600005</v>
      </c>
    </row>
    <row r="73" spans="1:8">
      <c r="A73" s="85" t="s">
        <v>15</v>
      </c>
      <c r="B73" s="86" t="s">
        <v>80</v>
      </c>
      <c r="C73" s="86"/>
      <c r="D73" s="87"/>
      <c r="E73" s="87"/>
      <c r="F73" s="88"/>
      <c r="G73" s="88"/>
      <c r="H73" s="89">
        <f>H67</f>
        <v>571.74507500000004</v>
      </c>
    </row>
    <row r="74" spans="1:8" ht="16.5" thickBot="1">
      <c r="A74" s="90"/>
      <c r="B74" s="91" t="s">
        <v>16</v>
      </c>
      <c r="C74" s="91"/>
      <c r="D74" s="91"/>
      <c r="E74" s="91"/>
      <c r="F74" s="92"/>
      <c r="G74" s="92"/>
      <c r="H74" s="93">
        <f>SUM(H71:H73)</f>
        <v>1548.6600452960001</v>
      </c>
    </row>
    <row r="75" spans="1:8" ht="16.5" thickBot="1">
      <c r="A75" s="94"/>
      <c r="B75" s="95"/>
      <c r="C75" s="95"/>
      <c r="D75" s="95"/>
      <c r="E75" s="95"/>
      <c r="F75" s="78"/>
      <c r="G75" s="78"/>
      <c r="H75" s="96"/>
    </row>
    <row r="76" spans="1:8" s="3" customFormat="1" ht="23.25">
      <c r="A76" s="36">
        <v>3</v>
      </c>
      <c r="B76" s="317" t="s">
        <v>81</v>
      </c>
      <c r="C76" s="317"/>
      <c r="D76" s="317"/>
      <c r="E76" s="317"/>
      <c r="F76" s="317"/>
      <c r="G76" s="317"/>
      <c r="H76" s="318"/>
    </row>
    <row r="77" spans="1:8">
      <c r="A77" s="38" t="s">
        <v>0</v>
      </c>
      <c r="B77" s="39" t="s">
        <v>82</v>
      </c>
      <c r="C77" s="39"/>
      <c r="D77" s="97"/>
      <c r="E77" s="97"/>
      <c r="F77" s="97"/>
      <c r="G77" s="55">
        <v>4.1999999999999997E-3</v>
      </c>
      <c r="H77" s="56">
        <f>(($H$33+$H$97)*G77)</f>
        <v>6.9945172633636359</v>
      </c>
    </row>
    <row r="78" spans="1:8">
      <c r="A78" s="38" t="s">
        <v>1</v>
      </c>
      <c r="B78" s="39" t="s">
        <v>83</v>
      </c>
      <c r="C78" s="39"/>
      <c r="D78" s="39"/>
      <c r="E78" s="39"/>
      <c r="F78" s="54"/>
      <c r="G78" s="55">
        <f>G77*G49</f>
        <v>3.3599999999999998E-4</v>
      </c>
      <c r="H78" s="56">
        <f>(($H$33+$H$97)*G78)</f>
        <v>0.55956138106909092</v>
      </c>
    </row>
    <row r="79" spans="1:8">
      <c r="A79" s="38" t="s">
        <v>2</v>
      </c>
      <c r="B79" s="39" t="s">
        <v>85</v>
      </c>
      <c r="C79" s="39"/>
      <c r="D79" s="97"/>
      <c r="E79" s="97"/>
      <c r="F79" s="97"/>
      <c r="G79" s="63">
        <v>1.9400000000000001E-2</v>
      </c>
      <c r="H79" s="56">
        <f t="shared" ref="H79:H81" si="1">(($H$33+$H$97)*G79)</f>
        <v>32.308008311727278</v>
      </c>
    </row>
    <row r="80" spans="1:8">
      <c r="A80" s="99" t="s">
        <v>3</v>
      </c>
      <c r="B80" s="100" t="s">
        <v>86</v>
      </c>
      <c r="C80" s="39"/>
      <c r="D80" s="39"/>
      <c r="E80" s="39"/>
      <c r="F80" s="54"/>
      <c r="G80" s="269">
        <f>G79*G50</f>
        <v>7.1392000000000009E-3</v>
      </c>
      <c r="H80" s="56">
        <f t="shared" si="1"/>
        <v>11.889347058715638</v>
      </c>
    </row>
    <row r="81" spans="1:8" ht="33" customHeight="1">
      <c r="A81" s="38" t="s">
        <v>4</v>
      </c>
      <c r="B81" s="270" t="s">
        <v>236</v>
      </c>
      <c r="C81" s="337" t="s">
        <v>84</v>
      </c>
      <c r="D81" s="337"/>
      <c r="E81" s="98"/>
      <c r="F81" s="98"/>
      <c r="G81" s="215">
        <f>(0.4*0.083)*((1+0.08333+0.0909+(0.0909/3)))</f>
        <v>3.9990395999999998E-2</v>
      </c>
      <c r="H81" s="56">
        <f t="shared" si="1"/>
        <v>66.598455997797174</v>
      </c>
    </row>
    <row r="82" spans="1:8" ht="16.5" thickBot="1">
      <c r="A82" s="101"/>
      <c r="B82" s="102" t="s">
        <v>16</v>
      </c>
      <c r="C82" s="102"/>
      <c r="D82" s="103"/>
      <c r="E82" s="103"/>
      <c r="F82" s="104"/>
      <c r="G82" s="105">
        <f>SUM(G77:G81)</f>
        <v>7.1065595999999995E-2</v>
      </c>
      <c r="H82" s="106">
        <f>SUM(H77:H81)</f>
        <v>118.34989001267282</v>
      </c>
    </row>
    <row r="83" spans="1:8" ht="16.5" thickBot="1">
      <c r="A83" s="107"/>
      <c r="B83" s="108"/>
      <c r="C83" s="108"/>
      <c r="D83" s="73"/>
      <c r="E83" s="73"/>
      <c r="F83" s="109"/>
      <c r="G83" s="110"/>
      <c r="H83" s="111"/>
    </row>
    <row r="84" spans="1:8" s="3" customFormat="1" ht="23.25">
      <c r="A84" s="36">
        <v>4</v>
      </c>
      <c r="B84" s="338" t="s">
        <v>87</v>
      </c>
      <c r="C84" s="338"/>
      <c r="D84" s="338"/>
      <c r="E84" s="338"/>
      <c r="F84" s="338"/>
      <c r="G84" s="338"/>
      <c r="H84" s="339"/>
    </row>
    <row r="85" spans="1:8" s="3" customFormat="1">
      <c r="A85" s="60" t="s">
        <v>17</v>
      </c>
      <c r="B85" s="321" t="s">
        <v>88</v>
      </c>
      <c r="C85" s="321"/>
      <c r="D85" s="321"/>
      <c r="E85" s="321"/>
      <c r="F85" s="321"/>
      <c r="G85" s="321"/>
      <c r="H85" s="322"/>
    </row>
    <row r="86" spans="1:8">
      <c r="A86" s="112" t="s">
        <v>0</v>
      </c>
      <c r="B86" s="42" t="s">
        <v>149</v>
      </c>
      <c r="C86" s="113"/>
      <c r="D86" s="117"/>
      <c r="E86" s="113"/>
      <c r="F86" s="118"/>
      <c r="G86" s="149">
        <f>((1+1/3)/11)/12</f>
        <v>1.01010101010101E-2</v>
      </c>
      <c r="H86" s="56">
        <f>SUM(H$33+H$74+H$82)*G86</f>
        <v>32.078787225340129</v>
      </c>
    </row>
    <row r="87" spans="1:8" ht="15" customHeight="1">
      <c r="A87" s="112" t="s">
        <v>1</v>
      </c>
      <c r="B87" s="42" t="s">
        <v>89</v>
      </c>
      <c r="C87" s="113"/>
      <c r="D87" s="114"/>
      <c r="E87" s="113"/>
      <c r="F87" s="115"/>
      <c r="G87" s="149">
        <f>(5.96/30)/12</f>
        <v>1.6555555555555556E-2</v>
      </c>
      <c r="H87" s="56">
        <f t="shared" ref="H87:H92" si="2">SUM(H$33+H$74+H$82)*G87</f>
        <v>52.577132262332476</v>
      </c>
    </row>
    <row r="88" spans="1:8">
      <c r="A88" s="112" t="s">
        <v>2</v>
      </c>
      <c r="B88" s="42" t="s">
        <v>90</v>
      </c>
      <c r="C88" s="113"/>
      <c r="D88" s="114"/>
      <c r="E88" s="113"/>
      <c r="F88" s="115"/>
      <c r="G88" s="149">
        <f>((5/30)/12)*0.05</f>
        <v>6.9444444444444447E-4</v>
      </c>
      <c r="H88" s="56">
        <f t="shared" si="2"/>
        <v>2.2054166217421343</v>
      </c>
    </row>
    <row r="89" spans="1:8">
      <c r="A89" s="112" t="s">
        <v>3</v>
      </c>
      <c r="B89" s="42" t="s">
        <v>91</v>
      </c>
      <c r="C89" s="113"/>
      <c r="D89" s="114"/>
      <c r="E89" s="113"/>
      <c r="F89" s="116"/>
      <c r="G89" s="149">
        <f>((15/30)/12)*0.2</f>
        <v>8.3333333333333332E-3</v>
      </c>
      <c r="H89" s="56">
        <f t="shared" si="2"/>
        <v>26.464999460905606</v>
      </c>
    </row>
    <row r="90" spans="1:8">
      <c r="A90" s="112" t="s">
        <v>4</v>
      </c>
      <c r="B90" s="42" t="s">
        <v>92</v>
      </c>
      <c r="C90" s="113"/>
      <c r="D90" s="114"/>
      <c r="E90" s="113"/>
      <c r="F90" s="115"/>
      <c r="G90" s="217">
        <f>((6/12)*11.11%)*0.1</f>
        <v>5.555E-3</v>
      </c>
      <c r="H90" s="56">
        <f t="shared" si="2"/>
        <v>17.641568640639679</v>
      </c>
    </row>
    <row r="91" spans="1:8">
      <c r="A91" s="112" t="s">
        <v>5</v>
      </c>
      <c r="B91" s="42" t="s">
        <v>146</v>
      </c>
      <c r="C91" s="113"/>
      <c r="D91" s="117"/>
      <c r="E91" s="113"/>
      <c r="F91" s="118"/>
      <c r="G91" s="149">
        <f>(5.96/30)/12</f>
        <v>1.6555555555555556E-2</v>
      </c>
      <c r="H91" s="56">
        <f t="shared" si="2"/>
        <v>52.577132262332476</v>
      </c>
    </row>
    <row r="92" spans="1:8">
      <c r="A92" s="112" t="s">
        <v>12</v>
      </c>
      <c r="B92" s="42" t="s">
        <v>6</v>
      </c>
      <c r="C92" s="113"/>
      <c r="D92" s="117"/>
      <c r="E92" s="113"/>
      <c r="F92" s="118"/>
      <c r="G92" s="149">
        <v>0</v>
      </c>
      <c r="H92" s="56">
        <f t="shared" si="2"/>
        <v>0</v>
      </c>
    </row>
    <row r="93" spans="1:8">
      <c r="A93" s="119"/>
      <c r="B93" s="120" t="s">
        <v>16</v>
      </c>
      <c r="C93" s="120"/>
      <c r="D93" s="121"/>
      <c r="E93" s="121"/>
      <c r="F93" s="122"/>
      <c r="G93" s="123">
        <f>SUM(G86:G92)</f>
        <v>5.7794898989898993E-2</v>
      </c>
      <c r="H93" s="124">
        <f>SUM(H86:H92)</f>
        <v>183.5450364732925</v>
      </c>
    </row>
    <row r="94" spans="1:8" ht="15">
      <c r="A94" s="325" t="s">
        <v>237</v>
      </c>
      <c r="B94" s="325"/>
      <c r="C94" s="325"/>
      <c r="D94" s="325"/>
      <c r="E94" s="325"/>
      <c r="F94" s="325"/>
      <c r="G94" s="325"/>
      <c r="H94" s="325"/>
    </row>
    <row r="95" spans="1:8" ht="15.75" customHeight="1">
      <c r="A95" s="326"/>
      <c r="B95" s="326"/>
      <c r="C95" s="326"/>
      <c r="D95" s="326"/>
      <c r="E95" s="326"/>
      <c r="F95" s="326"/>
      <c r="G95" s="326"/>
      <c r="H95" s="326"/>
    </row>
    <row r="96" spans="1:8" s="3" customFormat="1">
      <c r="A96" s="60" t="s">
        <v>18</v>
      </c>
      <c r="B96" s="321" t="s">
        <v>93</v>
      </c>
      <c r="C96" s="321"/>
      <c r="D96" s="321"/>
      <c r="E96" s="321"/>
      <c r="F96" s="321"/>
      <c r="G96" s="321"/>
      <c r="H96" s="322"/>
    </row>
    <row r="97" spans="1:13">
      <c r="A97" s="112" t="s">
        <v>0</v>
      </c>
      <c r="B97" s="42" t="s">
        <v>94</v>
      </c>
      <c r="C97" s="42"/>
      <c r="D97" s="64"/>
      <c r="E97" s="64"/>
      <c r="F97" s="125"/>
      <c r="G97" s="126">
        <f>H97/H33</f>
        <v>0.10377272727272729</v>
      </c>
      <c r="H97" s="271">
        <f>((H33/220)*1.5)*15.22</f>
        <v>156.57125318181821</v>
      </c>
      <c r="I97" s="127"/>
      <c r="K97" s="320"/>
      <c r="L97" s="320"/>
      <c r="M97" s="128"/>
    </row>
    <row r="98" spans="1:13">
      <c r="A98" s="119"/>
      <c r="B98" s="120" t="s">
        <v>16</v>
      </c>
      <c r="C98" s="120"/>
      <c r="D98" s="121"/>
      <c r="E98" s="121"/>
      <c r="F98" s="122"/>
      <c r="G98" s="123">
        <f>G97</f>
        <v>0.10377272727272729</v>
      </c>
      <c r="H98" s="124">
        <f>H97</f>
        <v>156.57125318181821</v>
      </c>
    </row>
    <row r="99" spans="1:13" s="3" customFormat="1" ht="18">
      <c r="A99" s="314" t="s">
        <v>95</v>
      </c>
      <c r="B99" s="315"/>
      <c r="C99" s="315"/>
      <c r="D99" s="315"/>
      <c r="E99" s="315"/>
      <c r="F99" s="315"/>
      <c r="G99" s="315"/>
      <c r="H99" s="316"/>
      <c r="K99" s="216"/>
    </row>
    <row r="100" spans="1:13">
      <c r="A100" s="129" t="s">
        <v>17</v>
      </c>
      <c r="B100" s="130" t="s">
        <v>96</v>
      </c>
      <c r="C100" s="130"/>
      <c r="D100" s="131"/>
      <c r="E100" s="131"/>
      <c r="F100" s="131"/>
      <c r="G100" s="132">
        <f>G93</f>
        <v>5.7794898989898993E-2</v>
      </c>
      <c r="H100" s="133">
        <f>H93</f>
        <v>183.5450364732925</v>
      </c>
    </row>
    <row r="101" spans="1:13">
      <c r="A101" s="129" t="s">
        <v>18</v>
      </c>
      <c r="B101" s="130" t="s">
        <v>97</v>
      </c>
      <c r="C101" s="130"/>
      <c r="D101" s="131"/>
      <c r="E101" s="131"/>
      <c r="F101" s="131"/>
      <c r="G101" s="132"/>
      <c r="H101" s="133">
        <f>H98</f>
        <v>156.57125318181821</v>
      </c>
    </row>
    <row r="102" spans="1:13" ht="16.5" thickBot="1">
      <c r="A102" s="134"/>
      <c r="B102" s="135" t="s">
        <v>16</v>
      </c>
      <c r="C102" s="135"/>
      <c r="D102" s="136"/>
      <c r="E102" s="136"/>
      <c r="F102" s="137"/>
      <c r="G102" s="138"/>
      <c r="H102" s="139">
        <f>SUM(H100:H101)</f>
        <v>340.11628965511068</v>
      </c>
    </row>
    <row r="103" spans="1:13" ht="16.5" thickBot="1">
      <c r="A103" s="107"/>
      <c r="B103" s="108"/>
      <c r="C103" s="108"/>
      <c r="D103" s="73"/>
      <c r="E103" s="73"/>
      <c r="F103" s="109"/>
      <c r="G103" s="110"/>
      <c r="H103" s="111"/>
    </row>
    <row r="104" spans="1:13" s="3" customFormat="1" ht="23.25">
      <c r="A104" s="36">
        <v>5</v>
      </c>
      <c r="B104" s="317" t="s">
        <v>21</v>
      </c>
      <c r="C104" s="317"/>
      <c r="D104" s="317"/>
      <c r="E104" s="317"/>
      <c r="F104" s="317"/>
      <c r="G104" s="317"/>
      <c r="H104" s="318"/>
    </row>
    <row r="105" spans="1:13">
      <c r="A105" s="112" t="s">
        <v>0</v>
      </c>
      <c r="B105" s="80" t="s">
        <v>238</v>
      </c>
      <c r="C105" s="80"/>
      <c r="D105" s="140"/>
      <c r="E105" s="39"/>
      <c r="F105" s="141"/>
      <c r="G105" s="141"/>
      <c r="H105" s="141">
        <f>'UNIFORME VIGIA '!F14</f>
        <v>60.583333333333336</v>
      </c>
      <c r="I105" s="127"/>
    </row>
    <row r="106" spans="1:13">
      <c r="A106" s="112" t="s">
        <v>1</v>
      </c>
      <c r="B106" s="80" t="s">
        <v>98</v>
      </c>
      <c r="C106" s="80"/>
      <c r="D106" s="140"/>
      <c r="E106" s="39"/>
      <c r="F106" s="141"/>
      <c r="G106" s="141"/>
      <c r="H106" s="141">
        <f>'EQUIPAMENTOS VIGIA'!F9</f>
        <v>35.156944444444441</v>
      </c>
      <c r="I106" s="127"/>
    </row>
    <row r="107" spans="1:13">
      <c r="A107" s="112" t="s">
        <v>2</v>
      </c>
      <c r="B107" s="80" t="s">
        <v>239</v>
      </c>
      <c r="C107" s="80"/>
      <c r="D107" s="140"/>
      <c r="E107" s="39"/>
      <c r="F107" s="141"/>
      <c r="G107" s="141"/>
      <c r="H107" s="141"/>
      <c r="I107" s="127"/>
    </row>
    <row r="108" spans="1:13">
      <c r="A108" s="112" t="s">
        <v>3</v>
      </c>
      <c r="B108" s="80" t="s">
        <v>6</v>
      </c>
      <c r="C108" s="80"/>
      <c r="D108" s="140"/>
      <c r="E108" s="39"/>
      <c r="F108" s="141"/>
      <c r="G108" s="141"/>
      <c r="H108" s="142"/>
    </row>
    <row r="109" spans="1:13" ht="16.5" thickBot="1">
      <c r="A109" s="101"/>
      <c r="B109" s="102" t="s">
        <v>16</v>
      </c>
      <c r="C109" s="102"/>
      <c r="D109" s="103"/>
      <c r="E109" s="103"/>
      <c r="F109" s="104"/>
      <c r="G109" s="105"/>
      <c r="H109" s="106">
        <f>SUM(H105:H108)</f>
        <v>95.740277777777777</v>
      </c>
    </row>
    <row r="110" spans="1:13" thickBot="1">
      <c r="A110" s="319" t="s">
        <v>99</v>
      </c>
      <c r="B110" s="319"/>
      <c r="C110" s="319"/>
      <c r="D110" s="319"/>
      <c r="E110" s="319"/>
      <c r="F110" s="319"/>
      <c r="G110" s="319"/>
      <c r="H110" s="319"/>
    </row>
    <row r="111" spans="1:13" s="3" customFormat="1" ht="23.25">
      <c r="A111" s="36">
        <v>6</v>
      </c>
      <c r="B111" s="317" t="s">
        <v>100</v>
      </c>
      <c r="C111" s="317"/>
      <c r="D111" s="317"/>
      <c r="E111" s="317"/>
      <c r="F111" s="317"/>
      <c r="G111" s="317"/>
      <c r="H111" s="318"/>
    </row>
    <row r="112" spans="1:13">
      <c r="A112" s="143" t="s">
        <v>0</v>
      </c>
      <c r="B112" s="39" t="s">
        <v>19</v>
      </c>
      <c r="C112" s="39"/>
      <c r="D112" s="39"/>
      <c r="E112" s="39"/>
      <c r="F112" s="144" t="s">
        <v>19</v>
      </c>
      <c r="G112" s="145">
        <v>0.12</v>
      </c>
      <c r="H112" s="56">
        <f>G112*H129</f>
        <v>433.39878032898741</v>
      </c>
      <c r="I112" s="146"/>
    </row>
    <row r="113" spans="1:9">
      <c r="A113" s="143" t="s">
        <v>1</v>
      </c>
      <c r="B113" s="39" t="s">
        <v>101</v>
      </c>
      <c r="C113" s="39"/>
      <c r="D113" s="39"/>
      <c r="E113" s="39"/>
      <c r="F113" s="72" t="s">
        <v>101</v>
      </c>
      <c r="G113" s="145">
        <v>0.1</v>
      </c>
      <c r="H113" s="56">
        <f>SUM(H112+H129)*$G$113</f>
        <v>404.50552830705493</v>
      </c>
    </row>
    <row r="114" spans="1:9">
      <c r="A114" s="143" t="s">
        <v>2</v>
      </c>
      <c r="B114" s="39" t="s">
        <v>20</v>
      </c>
      <c r="C114" s="39"/>
      <c r="D114" s="39"/>
      <c r="E114" s="39"/>
      <c r="F114" s="147"/>
      <c r="G114" s="147"/>
      <c r="H114" s="56"/>
    </row>
    <row r="115" spans="1:9">
      <c r="A115" s="143" t="s">
        <v>102</v>
      </c>
      <c r="B115" s="148" t="s">
        <v>103</v>
      </c>
      <c r="C115" s="39"/>
      <c r="D115" s="39"/>
      <c r="E115" s="39"/>
      <c r="F115" s="72" t="s">
        <v>104</v>
      </c>
      <c r="G115" s="145">
        <v>1.6500000000000001E-2</v>
      </c>
      <c r="H115" s="56">
        <f>$H$131*G115</f>
        <v>83.192921685813559</v>
      </c>
    </row>
    <row r="116" spans="1:9">
      <c r="A116" s="143" t="s">
        <v>105</v>
      </c>
      <c r="B116" s="148" t="s">
        <v>103</v>
      </c>
      <c r="C116" s="39"/>
      <c r="D116" s="39"/>
      <c r="E116" s="39"/>
      <c r="F116" s="72" t="s">
        <v>106</v>
      </c>
      <c r="G116" s="145">
        <v>7.5999999999999998E-2</v>
      </c>
      <c r="H116" s="56">
        <f>$H$131*G116</f>
        <v>383.19163928011091</v>
      </c>
      <c r="I116" s="146"/>
    </row>
    <row r="117" spans="1:9">
      <c r="A117" s="143" t="s">
        <v>107</v>
      </c>
      <c r="B117" s="59"/>
      <c r="C117" s="39"/>
      <c r="D117" s="39"/>
      <c r="E117" s="39"/>
      <c r="F117" s="69"/>
      <c r="G117" s="69"/>
      <c r="H117" s="67"/>
    </row>
    <row r="118" spans="1:9">
      <c r="A118" s="143" t="s">
        <v>108</v>
      </c>
      <c r="B118" s="148" t="s">
        <v>109</v>
      </c>
      <c r="C118" s="39"/>
      <c r="D118" s="39"/>
      <c r="E118" s="39"/>
      <c r="F118" s="72" t="s">
        <v>110</v>
      </c>
      <c r="G118" s="149">
        <v>2.5000000000000001E-2</v>
      </c>
      <c r="H118" s="56">
        <f>$H$131*G118</f>
        <v>126.04988134214176</v>
      </c>
    </row>
    <row r="119" spans="1:9">
      <c r="A119" s="143" t="s">
        <v>111</v>
      </c>
      <c r="B119" s="39"/>
      <c r="C119" s="39"/>
      <c r="D119" s="39"/>
      <c r="E119" s="39"/>
      <c r="F119" s="150" t="s">
        <v>112</v>
      </c>
      <c r="G119" s="151">
        <f>SUM(G115:G118)</f>
        <v>0.11749999999999999</v>
      </c>
      <c r="H119" s="67"/>
    </row>
    <row r="120" spans="1:9" ht="16.5" thickBot="1">
      <c r="A120" s="101"/>
      <c r="B120" s="102" t="s">
        <v>113</v>
      </c>
      <c r="C120" s="102"/>
      <c r="D120" s="103"/>
      <c r="E120" s="103"/>
      <c r="F120" s="104"/>
      <c r="G120" s="105">
        <f>G112+G113+G119</f>
        <v>0.33750000000000002</v>
      </c>
      <c r="H120" s="106">
        <f>SUM(H112:H118)</f>
        <v>1430.3387509441086</v>
      </c>
    </row>
    <row r="121" spans="1:9" ht="15">
      <c r="A121" s="319" t="s">
        <v>114</v>
      </c>
      <c r="B121" s="319"/>
      <c r="C121" s="319"/>
      <c r="D121" s="319"/>
      <c r="E121" s="319"/>
      <c r="F121" s="319"/>
      <c r="G121" s="319"/>
      <c r="H121" s="319"/>
      <c r="I121" s="152"/>
    </row>
    <row r="122" spans="1:9" thickBot="1">
      <c r="A122" s="319" t="s">
        <v>115</v>
      </c>
      <c r="B122" s="319"/>
      <c r="C122" s="319"/>
      <c r="D122" s="319"/>
      <c r="E122" s="319"/>
      <c r="F122" s="319"/>
      <c r="G122" s="319"/>
      <c r="H122" s="319"/>
    </row>
    <row r="123" spans="1:9" s="3" customFormat="1">
      <c r="A123" s="153"/>
      <c r="B123" s="335" t="s">
        <v>116</v>
      </c>
      <c r="C123" s="335"/>
      <c r="D123" s="335"/>
      <c r="E123" s="335"/>
      <c r="F123" s="335"/>
      <c r="G123" s="335"/>
      <c r="H123" s="336"/>
    </row>
    <row r="124" spans="1:9">
      <c r="A124" s="154" t="s">
        <v>0</v>
      </c>
      <c r="B124" s="155" t="s">
        <v>117</v>
      </c>
      <c r="C124" s="155"/>
      <c r="D124" s="155"/>
      <c r="E124" s="155"/>
      <c r="F124" s="156"/>
      <c r="G124" s="157"/>
      <c r="H124" s="158">
        <f>SUM(H33)</f>
        <v>1508.79</v>
      </c>
    </row>
    <row r="125" spans="1:9">
      <c r="A125" s="154" t="s">
        <v>1</v>
      </c>
      <c r="B125" s="155" t="s">
        <v>118</v>
      </c>
      <c r="C125" s="155"/>
      <c r="D125" s="155"/>
      <c r="E125" s="155"/>
      <c r="F125" s="156"/>
      <c r="G125" s="157"/>
      <c r="H125" s="158">
        <f>H74</f>
        <v>1548.6600452960001</v>
      </c>
    </row>
    <row r="126" spans="1:9">
      <c r="A126" s="154" t="s">
        <v>2</v>
      </c>
      <c r="B126" s="155" t="s">
        <v>119</v>
      </c>
      <c r="C126" s="155"/>
      <c r="D126" s="155"/>
      <c r="E126" s="155"/>
      <c r="F126" s="156"/>
      <c r="G126" s="157"/>
      <c r="H126" s="158">
        <f>H82</f>
        <v>118.34989001267282</v>
      </c>
    </row>
    <row r="127" spans="1:9">
      <c r="A127" s="154" t="s">
        <v>3</v>
      </c>
      <c r="B127" s="155" t="s">
        <v>120</v>
      </c>
      <c r="C127" s="155"/>
      <c r="D127" s="155"/>
      <c r="E127" s="155"/>
      <c r="F127" s="156"/>
      <c r="G127" s="157"/>
      <c r="H127" s="158">
        <f>H102</f>
        <v>340.11628965511068</v>
      </c>
    </row>
    <row r="128" spans="1:9">
      <c r="A128" s="154" t="s">
        <v>4</v>
      </c>
      <c r="B128" s="155" t="s">
        <v>21</v>
      </c>
      <c r="C128" s="155"/>
      <c r="D128" s="155"/>
      <c r="E128" s="155"/>
      <c r="F128" s="156"/>
      <c r="G128" s="157"/>
      <c r="H128" s="158">
        <f>H109</f>
        <v>95.740277777777777</v>
      </c>
    </row>
    <row r="129" spans="1:11">
      <c r="A129" s="154"/>
      <c r="B129" s="159" t="s">
        <v>121</v>
      </c>
      <c r="C129" s="159"/>
      <c r="D129" s="159"/>
      <c r="E129" s="159"/>
      <c r="F129" s="160"/>
      <c r="G129" s="161"/>
      <c r="H129" s="162">
        <f>SUM(H124:H128)</f>
        <v>3611.6565027415618</v>
      </c>
      <c r="I129" s="163"/>
      <c r="K129" s="163"/>
    </row>
    <row r="130" spans="1:11">
      <c r="A130" s="154" t="s">
        <v>4</v>
      </c>
      <c r="B130" s="155" t="s">
        <v>122</v>
      </c>
      <c r="C130" s="155"/>
      <c r="D130" s="155"/>
      <c r="E130" s="155"/>
      <c r="F130" s="156"/>
      <c r="G130" s="164"/>
      <c r="H130" s="158">
        <f>H120</f>
        <v>1430.3387509441086</v>
      </c>
      <c r="K130" s="1"/>
    </row>
    <row r="131" spans="1:11" ht="16.5" thickBot="1">
      <c r="A131" s="165"/>
      <c r="B131" s="102" t="s">
        <v>123</v>
      </c>
      <c r="C131" s="102"/>
      <c r="D131" s="102"/>
      <c r="E131" s="102"/>
      <c r="F131" s="102"/>
      <c r="G131" s="166"/>
      <c r="H131" s="167">
        <f>(H129+H112+H113)/(1-G119)</f>
        <v>5041.9952536856699</v>
      </c>
      <c r="K131" s="2"/>
    </row>
    <row r="132" spans="1:11" ht="16.5" thickBot="1">
      <c r="A132" s="168"/>
      <c r="B132" s="108"/>
      <c r="C132" s="108"/>
      <c r="D132" s="108"/>
      <c r="E132" s="108"/>
      <c r="F132" s="108"/>
      <c r="G132" s="169"/>
      <c r="H132" s="170"/>
      <c r="K132" s="2"/>
    </row>
    <row r="133" spans="1:11" s="3" customFormat="1">
      <c r="A133" s="153"/>
      <c r="B133" s="335" t="s">
        <v>124</v>
      </c>
      <c r="C133" s="335"/>
      <c r="D133" s="335"/>
      <c r="E133" s="335"/>
      <c r="F133" s="335"/>
      <c r="G133" s="335"/>
      <c r="H133" s="336"/>
    </row>
    <row r="134" spans="1:11" ht="54.75" customHeight="1">
      <c r="A134" s="171"/>
      <c r="B134" s="172" t="s">
        <v>37</v>
      </c>
      <c r="C134" s="172"/>
      <c r="D134" s="173" t="s">
        <v>125</v>
      </c>
      <c r="E134" s="173" t="s">
        <v>126</v>
      </c>
      <c r="F134" s="174" t="s">
        <v>127</v>
      </c>
      <c r="G134" s="173" t="s">
        <v>128</v>
      </c>
      <c r="H134" s="175" t="s">
        <v>129</v>
      </c>
    </row>
    <row r="135" spans="1:11" ht="16.5" thickBot="1">
      <c r="A135" s="171"/>
      <c r="B135" s="176" t="s">
        <v>130</v>
      </c>
      <c r="C135" s="176"/>
      <c r="D135" s="176" t="s">
        <v>131</v>
      </c>
      <c r="E135" s="177" t="s">
        <v>132</v>
      </c>
      <c r="F135" s="178" t="s">
        <v>133</v>
      </c>
      <c r="G135" s="176" t="s">
        <v>134</v>
      </c>
      <c r="H135" s="179" t="s">
        <v>135</v>
      </c>
    </row>
    <row r="136" spans="1:11" ht="16.5" thickBot="1">
      <c r="A136" s="180"/>
      <c r="B136" s="181"/>
      <c r="C136" s="181"/>
      <c r="D136" s="182">
        <f>SUM(H131)</f>
        <v>5041.9952536856699</v>
      </c>
      <c r="E136" s="183">
        <v>2</v>
      </c>
      <c r="F136" s="182">
        <f>D136*E136</f>
        <v>10083.99050737134</v>
      </c>
      <c r="G136" s="220">
        <f>E14</f>
        <v>1</v>
      </c>
      <c r="H136" s="213">
        <f>G136*F136</f>
        <v>10083.99050737134</v>
      </c>
    </row>
    <row r="137" spans="1:11" ht="16.5" thickBot="1">
      <c r="A137" s="184"/>
      <c r="B137" s="185" t="s">
        <v>136</v>
      </c>
      <c r="C137" s="185"/>
      <c r="D137" s="186"/>
      <c r="E137" s="186"/>
      <c r="F137" s="186"/>
      <c r="G137" s="186"/>
      <c r="H137" s="187">
        <f>SUM(H136)</f>
        <v>10083.99050737134</v>
      </c>
    </row>
    <row r="138" spans="1:11" ht="16.5" thickBot="1">
      <c r="A138" s="188"/>
      <c r="B138" s="189"/>
      <c r="C138" s="189"/>
      <c r="D138" s="190"/>
      <c r="E138" s="189"/>
      <c r="F138" s="189"/>
      <c r="G138" s="189"/>
      <c r="H138" s="189"/>
    </row>
    <row r="139" spans="1:11" s="3" customFormat="1">
      <c r="A139" s="153"/>
      <c r="B139" s="335" t="s">
        <v>137</v>
      </c>
      <c r="C139" s="335"/>
      <c r="D139" s="335"/>
      <c r="E139" s="335"/>
      <c r="F139" s="335"/>
      <c r="G139" s="335"/>
      <c r="H139" s="336"/>
    </row>
    <row r="140" spans="1:11">
      <c r="A140" s="191"/>
      <c r="B140" s="192" t="s">
        <v>23</v>
      </c>
      <c r="C140" s="192"/>
      <c r="D140" s="192"/>
      <c r="E140" s="172"/>
      <c r="F140" s="172"/>
      <c r="G140" s="172"/>
      <c r="H140" s="193" t="s">
        <v>138</v>
      </c>
    </row>
    <row r="141" spans="1:11">
      <c r="A141" s="194" t="s">
        <v>0</v>
      </c>
      <c r="B141" s="195" t="s">
        <v>139</v>
      </c>
      <c r="C141" s="195"/>
      <c r="D141" s="195"/>
      <c r="E141" s="196"/>
      <c r="F141" s="196"/>
      <c r="G141" s="196"/>
      <c r="H141" s="193">
        <f>D136</f>
        <v>5041.9952536856699</v>
      </c>
    </row>
    <row r="142" spans="1:11" ht="16.5" thickBot="1">
      <c r="A142" s="194" t="s">
        <v>1</v>
      </c>
      <c r="B142" s="195" t="s">
        <v>140</v>
      </c>
      <c r="C142" s="195"/>
      <c r="D142" s="195"/>
      <c r="E142" s="196"/>
      <c r="F142" s="196"/>
      <c r="G142" s="196"/>
      <c r="H142" s="193">
        <f>H137</f>
        <v>10083.99050737134</v>
      </c>
      <c r="I142" s="2"/>
      <c r="K142" s="2"/>
    </row>
    <row r="143" spans="1:11" ht="16.5" thickBot="1">
      <c r="A143" s="197" t="s">
        <v>3</v>
      </c>
      <c r="B143" s="198" t="s">
        <v>141</v>
      </c>
      <c r="C143" s="198"/>
      <c r="D143" s="199"/>
      <c r="E143" s="200"/>
      <c r="F143" s="200"/>
      <c r="G143" s="183">
        <v>12</v>
      </c>
      <c r="H143" s="201">
        <f>SUM(H142*G143)</f>
        <v>121007.88608845609</v>
      </c>
    </row>
    <row r="144" spans="1:11" ht="15">
      <c r="A144" s="319" t="s">
        <v>142</v>
      </c>
      <c r="B144" s="319"/>
      <c r="C144" s="319"/>
      <c r="D144" s="319"/>
      <c r="E144" s="319"/>
      <c r="F144" s="319"/>
      <c r="G144" s="319"/>
      <c r="H144" s="319"/>
    </row>
    <row r="145" spans="1:8">
      <c r="A145" s="221" t="s">
        <v>143</v>
      </c>
      <c r="B145" s="222" t="s">
        <v>144</v>
      </c>
      <c r="G145" s="203" t="s">
        <v>240</v>
      </c>
      <c r="H145" s="272">
        <f>H142/H33</f>
        <v>6.683495057212296</v>
      </c>
    </row>
    <row r="146" spans="1:8">
      <c r="A146" s="202" t="s">
        <v>143</v>
      </c>
      <c r="B146" s="203" t="s">
        <v>145</v>
      </c>
    </row>
    <row r="147" spans="1:8">
      <c r="H147" s="273"/>
    </row>
  </sheetData>
  <mergeCells count="64">
    <mergeCell ref="A1:H1"/>
    <mergeCell ref="A2:H2"/>
    <mergeCell ref="A3:H3"/>
    <mergeCell ref="C4:D4"/>
    <mergeCell ref="E4:H6"/>
    <mergeCell ref="C5:D5"/>
    <mergeCell ref="A7:H7"/>
    <mergeCell ref="C8:D8"/>
    <mergeCell ref="C9:D9"/>
    <mergeCell ref="C11:D11"/>
    <mergeCell ref="C10:E10"/>
    <mergeCell ref="A12:H12"/>
    <mergeCell ref="E13:G13"/>
    <mergeCell ref="E14:G14"/>
    <mergeCell ref="E15:H15"/>
    <mergeCell ref="E16:H16"/>
    <mergeCell ref="B36:H36"/>
    <mergeCell ref="A40:H40"/>
    <mergeCell ref="B41:H41"/>
    <mergeCell ref="B17:H17"/>
    <mergeCell ref="A18:H18"/>
    <mergeCell ref="B25:H25"/>
    <mergeCell ref="A34:H34"/>
    <mergeCell ref="B35:H35"/>
    <mergeCell ref="A59:A61"/>
    <mergeCell ref="B76:H76"/>
    <mergeCell ref="C81:D81"/>
    <mergeCell ref="B84:H84"/>
    <mergeCell ref="B85:H85"/>
    <mergeCell ref="D59:D60"/>
    <mergeCell ref="E59:E60"/>
    <mergeCell ref="F59:F60"/>
    <mergeCell ref="G59:G60"/>
    <mergeCell ref="B62:E62"/>
    <mergeCell ref="B63:E63"/>
    <mergeCell ref="B64:E64"/>
    <mergeCell ref="B65:E65"/>
    <mergeCell ref="A68:H68"/>
    <mergeCell ref="A69:H69"/>
    <mergeCell ref="A122:H122"/>
    <mergeCell ref="B123:H123"/>
    <mergeCell ref="B133:H133"/>
    <mergeCell ref="B139:H139"/>
    <mergeCell ref="A144:H144"/>
    <mergeCell ref="A51:H51"/>
    <mergeCell ref="A52:H52"/>
    <mergeCell ref="A53:H53"/>
    <mergeCell ref="B54:H54"/>
    <mergeCell ref="A56:A58"/>
    <mergeCell ref="D56:D57"/>
    <mergeCell ref="E56:E57"/>
    <mergeCell ref="F56:F57"/>
    <mergeCell ref="G56:G57"/>
    <mergeCell ref="K97:L97"/>
    <mergeCell ref="B96:H96"/>
    <mergeCell ref="B67:E67"/>
    <mergeCell ref="A70:H70"/>
    <mergeCell ref="B66:E66"/>
    <mergeCell ref="A94:H95"/>
    <mergeCell ref="A99:H99"/>
    <mergeCell ref="B104:H104"/>
    <mergeCell ref="A110:H110"/>
    <mergeCell ref="A121:H121"/>
    <mergeCell ref="B111:H111"/>
  </mergeCells>
  <dataValidations count="3">
    <dataValidation operator="equal" allowBlank="1" showErrorMessage="1" promptTitle="Percentual" sqref="E29"/>
    <dataValidation type="list" operator="equal" allowBlank="1" showErrorMessage="1" sqref="D29">
      <formula1>$J$27:$J$31</formula1>
      <formula2>0</formula2>
    </dataValidation>
    <dataValidation operator="equal" allowBlank="1" showErrorMessage="1" sqref="E27"/>
  </dataValidations>
  <pageMargins left="0.98425196850393704" right="0.59055118110236227" top="1.3779527559055118" bottom="0.59055118110236227" header="0.31496062992125984" footer="0.31496062992125984"/>
  <pageSetup paperSize="9" scale="4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7"/>
  <sheetViews>
    <sheetView topLeftCell="A118" zoomScale="80" zoomScaleNormal="80" workbookViewId="0">
      <selection activeCell="H106" sqref="H106"/>
    </sheetView>
  </sheetViews>
  <sheetFormatPr defaultRowHeight="15.75"/>
  <cols>
    <col min="1" max="1" width="4.85546875" style="202" bestFit="1" customWidth="1"/>
    <col min="2" max="2" width="74.85546875" style="203" bestFit="1" customWidth="1"/>
    <col min="3" max="3" width="5" style="203" customWidth="1"/>
    <col min="4" max="4" width="51" style="203" bestFit="1" customWidth="1"/>
    <col min="5" max="5" width="17.42578125" style="203" customWidth="1"/>
    <col min="6" max="6" width="18" style="203" customWidth="1"/>
    <col min="7" max="7" width="17.7109375" style="203" bestFit="1" customWidth="1"/>
    <col min="8" max="8" width="21.42578125" style="203" customWidth="1"/>
    <col min="9" max="9" width="15.7109375" bestFit="1" customWidth="1"/>
    <col min="11" max="11" width="31" customWidth="1"/>
    <col min="12" max="12" width="12.5703125" bestFit="1" customWidth="1"/>
    <col min="13" max="13" width="15.28515625" customWidth="1"/>
  </cols>
  <sheetData>
    <row r="1" spans="1:8" ht="15" customHeight="1">
      <c r="A1" s="358" t="s">
        <v>25</v>
      </c>
      <c r="B1" s="358"/>
      <c r="C1" s="358"/>
      <c r="D1" s="358"/>
      <c r="E1" s="358"/>
      <c r="F1" s="358"/>
      <c r="G1" s="358"/>
      <c r="H1" s="358"/>
    </row>
    <row r="2" spans="1:8" ht="15.75" customHeight="1" thickBot="1">
      <c r="A2" s="358" t="s">
        <v>26</v>
      </c>
      <c r="B2" s="358"/>
      <c r="C2" s="358"/>
      <c r="D2" s="358"/>
      <c r="E2" s="358"/>
      <c r="F2" s="358"/>
      <c r="G2" s="358"/>
      <c r="H2" s="358"/>
    </row>
    <row r="3" spans="1:8" s="3" customFormat="1" ht="18">
      <c r="A3" s="359" t="s">
        <v>27</v>
      </c>
      <c r="B3" s="360"/>
      <c r="C3" s="360"/>
      <c r="D3" s="360"/>
      <c r="E3" s="360"/>
      <c r="F3" s="360"/>
      <c r="G3" s="360"/>
      <c r="H3" s="361"/>
    </row>
    <row r="4" spans="1:8" ht="15">
      <c r="A4" s="4" t="s">
        <v>0</v>
      </c>
      <c r="B4" s="5" t="s">
        <v>28</v>
      </c>
      <c r="C4" s="362" t="s">
        <v>147</v>
      </c>
      <c r="D4" s="362"/>
      <c r="E4" s="363"/>
      <c r="F4" s="363"/>
      <c r="G4" s="363"/>
      <c r="H4" s="364"/>
    </row>
    <row r="5" spans="1:8" ht="15">
      <c r="A5" s="4" t="s">
        <v>1</v>
      </c>
      <c r="B5" s="5" t="s">
        <v>29</v>
      </c>
      <c r="C5" s="365" t="s">
        <v>147</v>
      </c>
      <c r="D5" s="365"/>
      <c r="E5" s="363"/>
      <c r="F5" s="363"/>
      <c r="G5" s="363"/>
      <c r="H5" s="364"/>
    </row>
    <row r="6" spans="1:8" ht="15">
      <c r="A6" s="4" t="s">
        <v>2</v>
      </c>
      <c r="B6" s="5" t="s">
        <v>30</v>
      </c>
      <c r="C6" s="5"/>
      <c r="D6" s="6" t="s">
        <v>148</v>
      </c>
      <c r="E6" s="363"/>
      <c r="F6" s="363"/>
      <c r="G6" s="363"/>
      <c r="H6" s="364"/>
    </row>
    <row r="7" spans="1:8" s="3" customFormat="1" ht="18">
      <c r="A7" s="349" t="s">
        <v>31</v>
      </c>
      <c r="B7" s="344"/>
      <c r="C7" s="344"/>
      <c r="D7" s="344"/>
      <c r="E7" s="344"/>
      <c r="F7" s="344"/>
      <c r="G7" s="344"/>
      <c r="H7" s="345"/>
    </row>
    <row r="8" spans="1:8" ht="15">
      <c r="A8" s="7" t="s">
        <v>0</v>
      </c>
      <c r="B8" s="8" t="s">
        <v>32</v>
      </c>
      <c r="C8" s="354" t="s">
        <v>147</v>
      </c>
      <c r="D8" s="355"/>
      <c r="E8" s="9"/>
      <c r="F8" s="9"/>
      <c r="G8" s="9"/>
      <c r="H8" s="10"/>
    </row>
    <row r="9" spans="1:8">
      <c r="A9" s="7" t="s">
        <v>1</v>
      </c>
      <c r="B9" s="8" t="s">
        <v>33</v>
      </c>
      <c r="C9" s="356" t="s">
        <v>220</v>
      </c>
      <c r="D9" s="356"/>
      <c r="E9" s="11"/>
      <c r="F9" s="11"/>
      <c r="G9" s="11"/>
      <c r="H9" s="12"/>
    </row>
    <row r="10" spans="1:8" ht="15" customHeight="1">
      <c r="A10" s="7" t="s">
        <v>2</v>
      </c>
      <c r="B10" s="8" t="s">
        <v>34</v>
      </c>
      <c r="C10" s="357" t="s">
        <v>221</v>
      </c>
      <c r="D10" s="357"/>
      <c r="E10" s="357"/>
      <c r="F10" s="11"/>
      <c r="G10" s="11"/>
      <c r="H10" s="12"/>
    </row>
    <row r="11" spans="1:8" ht="15">
      <c r="A11" s="7" t="s">
        <v>3</v>
      </c>
      <c r="B11" s="8" t="s">
        <v>35</v>
      </c>
      <c r="C11" s="357">
        <v>12</v>
      </c>
      <c r="D11" s="357"/>
      <c r="E11" s="11"/>
      <c r="F11" s="11"/>
      <c r="G11" s="11"/>
      <c r="H11" s="12"/>
    </row>
    <row r="12" spans="1:8" s="3" customFormat="1" ht="18">
      <c r="A12" s="349" t="s">
        <v>36</v>
      </c>
      <c r="B12" s="344"/>
      <c r="C12" s="344"/>
      <c r="D12" s="344"/>
      <c r="E12" s="344"/>
      <c r="F12" s="344"/>
      <c r="G12" s="344"/>
      <c r="H12" s="345"/>
    </row>
    <row r="13" spans="1:8" ht="15.75" customHeight="1">
      <c r="A13" s="7"/>
      <c r="B13" s="13" t="s">
        <v>37</v>
      </c>
      <c r="C13" s="13"/>
      <c r="D13" s="14" t="s">
        <v>38</v>
      </c>
      <c r="E13" s="350" t="s">
        <v>39</v>
      </c>
      <c r="F13" s="350"/>
      <c r="G13" s="350"/>
      <c r="H13" s="15" t="s">
        <v>24</v>
      </c>
    </row>
    <row r="14" spans="1:8" ht="15">
      <c r="A14" s="7" t="s">
        <v>0</v>
      </c>
      <c r="B14" s="16" t="s">
        <v>241</v>
      </c>
      <c r="C14" s="17"/>
      <c r="D14" s="18" t="s">
        <v>243</v>
      </c>
      <c r="E14" s="351">
        <v>1</v>
      </c>
      <c r="F14" s="351"/>
      <c r="G14" s="351"/>
      <c r="H14" s="19" t="s">
        <v>40</v>
      </c>
    </row>
    <row r="15" spans="1:8" ht="15">
      <c r="A15" s="7" t="s">
        <v>1</v>
      </c>
      <c r="B15" s="8"/>
      <c r="C15" s="8"/>
      <c r="D15" s="260"/>
      <c r="E15" s="352"/>
      <c r="F15" s="352"/>
      <c r="G15" s="352"/>
      <c r="H15" s="353"/>
    </row>
    <row r="16" spans="1:8" ht="15">
      <c r="A16" s="7" t="s">
        <v>2</v>
      </c>
      <c r="B16" s="8"/>
      <c r="C16" s="8"/>
      <c r="D16" s="260"/>
      <c r="E16" s="352"/>
      <c r="F16" s="352"/>
      <c r="G16" s="352"/>
      <c r="H16" s="353"/>
    </row>
    <row r="17" spans="1:11" s="3" customFormat="1" ht="18">
      <c r="A17" s="21"/>
      <c r="B17" s="344" t="s">
        <v>41</v>
      </c>
      <c r="C17" s="344"/>
      <c r="D17" s="344"/>
      <c r="E17" s="344"/>
      <c r="F17" s="344"/>
      <c r="G17" s="344"/>
      <c r="H17" s="345"/>
    </row>
    <row r="18" spans="1:11" ht="18">
      <c r="A18" s="346" t="s">
        <v>42</v>
      </c>
      <c r="B18" s="347"/>
      <c r="C18" s="347"/>
      <c r="D18" s="347"/>
      <c r="E18" s="347"/>
      <c r="F18" s="347"/>
      <c r="G18" s="347"/>
      <c r="H18" s="348"/>
    </row>
    <row r="19" spans="1:11" ht="15">
      <c r="A19" s="7">
        <v>1</v>
      </c>
      <c r="B19" s="8" t="s">
        <v>37</v>
      </c>
      <c r="C19" s="8"/>
      <c r="D19" s="16" t="str">
        <f>B14</f>
        <v xml:space="preserve">VIGIA </v>
      </c>
      <c r="E19" s="16"/>
      <c r="F19" s="16"/>
      <c r="G19" s="16"/>
      <c r="H19" s="22"/>
    </row>
    <row r="20" spans="1:11" ht="15">
      <c r="A20" s="7">
        <v>2</v>
      </c>
      <c r="B20" s="8" t="s">
        <v>43</v>
      </c>
      <c r="C20" s="8"/>
      <c r="D20" s="23" t="s">
        <v>216</v>
      </c>
      <c r="E20" s="23"/>
      <c r="F20" s="23"/>
      <c r="G20" s="23"/>
      <c r="H20" s="24"/>
    </row>
    <row r="21" spans="1:11" ht="15">
      <c r="A21" s="7">
        <v>3</v>
      </c>
      <c r="B21" s="8" t="s">
        <v>44</v>
      </c>
      <c r="C21" s="8"/>
      <c r="D21" s="25">
        <v>1481.66</v>
      </c>
      <c r="E21" s="26"/>
      <c r="F21" s="26"/>
      <c r="G21" s="26"/>
      <c r="H21" s="27"/>
    </row>
    <row r="22" spans="1:11" ht="15">
      <c r="A22" s="4">
        <v>4</v>
      </c>
      <c r="B22" s="20" t="s">
        <v>45</v>
      </c>
      <c r="C22" s="20"/>
      <c r="D22" s="11" t="s">
        <v>241</v>
      </c>
      <c r="E22" s="11"/>
      <c r="F22" s="11"/>
      <c r="G22" s="11"/>
      <c r="H22" s="12"/>
      <c r="K22" s="28"/>
    </row>
    <row r="23" spans="1:11" thickBot="1">
      <c r="A23" s="29">
        <v>5</v>
      </c>
      <c r="B23" s="30" t="s">
        <v>46</v>
      </c>
      <c r="C23" s="30"/>
      <c r="D23" s="31" t="s">
        <v>47</v>
      </c>
      <c r="E23" s="31"/>
      <c r="F23" s="31"/>
      <c r="G23" s="31"/>
      <c r="H23" s="32"/>
      <c r="K23" s="28"/>
    </row>
    <row r="24" spans="1:11" thickBot="1">
      <c r="A24" s="33"/>
      <c r="B24" s="34"/>
      <c r="C24" s="34"/>
      <c r="D24" s="35"/>
      <c r="E24" s="35"/>
      <c r="F24" s="35"/>
      <c r="G24" s="35"/>
      <c r="H24" s="35"/>
      <c r="K24" s="28"/>
    </row>
    <row r="25" spans="1:11" s="3" customFormat="1" ht="23.25">
      <c r="A25" s="36">
        <v>1</v>
      </c>
      <c r="B25" s="317" t="s">
        <v>48</v>
      </c>
      <c r="C25" s="317"/>
      <c r="D25" s="317"/>
      <c r="E25" s="317"/>
      <c r="F25" s="317"/>
      <c r="G25" s="317"/>
      <c r="H25" s="318"/>
      <c r="K25" s="37"/>
    </row>
    <row r="26" spans="1:11">
      <c r="A26" s="38" t="s">
        <v>0</v>
      </c>
      <c r="B26" s="39" t="s">
        <v>49</v>
      </c>
      <c r="C26" s="39"/>
      <c r="D26" s="40"/>
      <c r="E26" s="41"/>
      <c r="F26" s="41"/>
      <c r="G26" s="54"/>
      <c r="H26" s="204">
        <f>D21</f>
        <v>1481.66</v>
      </c>
      <c r="K26" s="28"/>
    </row>
    <row r="27" spans="1:11">
      <c r="A27" s="38" t="s">
        <v>1</v>
      </c>
      <c r="B27" s="42" t="s">
        <v>200</v>
      </c>
      <c r="C27" s="43"/>
      <c r="D27" s="261" t="s">
        <v>226</v>
      </c>
      <c r="E27" s="45">
        <v>0</v>
      </c>
      <c r="F27" s="50"/>
      <c r="G27" s="41"/>
      <c r="H27" s="262">
        <v>27.13</v>
      </c>
      <c r="K27" s="28"/>
    </row>
    <row r="28" spans="1:11">
      <c r="A28" s="38" t="s">
        <v>2</v>
      </c>
      <c r="B28" s="42" t="s">
        <v>50</v>
      </c>
      <c r="C28" s="43"/>
      <c r="D28" s="46" t="s">
        <v>51</v>
      </c>
      <c r="E28" s="47" t="s">
        <v>22</v>
      </c>
      <c r="F28" s="46" t="s">
        <v>52</v>
      </c>
      <c r="G28" s="48"/>
      <c r="H28" s="223">
        <v>0</v>
      </c>
      <c r="K28" s="28"/>
    </row>
    <row r="29" spans="1:11">
      <c r="A29" s="38"/>
      <c r="B29" s="42"/>
      <c r="C29" s="43"/>
      <c r="D29" s="44" t="s">
        <v>53</v>
      </c>
      <c r="E29" s="45">
        <v>0</v>
      </c>
      <c r="F29" s="49">
        <v>0</v>
      </c>
      <c r="G29" s="48"/>
      <c r="H29" s="223">
        <v>0</v>
      </c>
      <c r="K29" s="28"/>
    </row>
    <row r="30" spans="1:11">
      <c r="A30" s="38" t="s">
        <v>3</v>
      </c>
      <c r="B30" s="42" t="s">
        <v>54</v>
      </c>
      <c r="C30" s="43"/>
      <c r="D30" s="263"/>
      <c r="E30" s="263"/>
      <c r="F30" s="263"/>
      <c r="G30" s="39"/>
      <c r="H30" s="275">
        <f>((((H26+H27)/220)*20%)*7)*15.22</f>
        <v>146.13316963636365</v>
      </c>
    </row>
    <row r="31" spans="1:11">
      <c r="A31" s="38" t="s">
        <v>4</v>
      </c>
      <c r="B31" s="42" t="s">
        <v>227</v>
      </c>
      <c r="C31" s="43"/>
      <c r="D31" s="261" t="s">
        <v>228</v>
      </c>
      <c r="E31" s="264">
        <f>((H26+H27)/220)*1.5</f>
        <v>10.287204545454546</v>
      </c>
      <c r="F31" s="265">
        <v>0</v>
      </c>
      <c r="G31" s="48"/>
      <c r="H31" s="224">
        <f>E31*F31</f>
        <v>0</v>
      </c>
    </row>
    <row r="32" spans="1:11">
      <c r="A32" s="38" t="s">
        <v>5</v>
      </c>
      <c r="B32" s="42" t="s">
        <v>229</v>
      </c>
      <c r="C32" s="42"/>
      <c r="D32" s="39"/>
      <c r="E32" s="266"/>
      <c r="F32" s="48"/>
      <c r="G32" s="48"/>
      <c r="H32" s="219">
        <f>H31*E32</f>
        <v>0</v>
      </c>
    </row>
    <row r="33" spans="1:11" ht="16.5" thickBot="1">
      <c r="A33" s="205"/>
      <c r="B33" s="206" t="s">
        <v>16</v>
      </c>
      <c r="C33" s="206"/>
      <c r="D33" s="103"/>
      <c r="E33" s="103"/>
      <c r="F33" s="207"/>
      <c r="G33" s="207"/>
      <c r="H33" s="208">
        <f>ROUND(SUM(H26:H32),2)</f>
        <v>1654.92</v>
      </c>
    </row>
    <row r="34" spans="1:11" ht="15.75" customHeight="1" thickBot="1">
      <c r="A34" s="343" t="s">
        <v>55</v>
      </c>
      <c r="B34" s="343"/>
      <c r="C34" s="343"/>
      <c r="D34" s="343"/>
      <c r="E34" s="343"/>
      <c r="F34" s="343"/>
      <c r="G34" s="343"/>
      <c r="H34" s="343"/>
    </row>
    <row r="35" spans="1:11" s="52" customFormat="1" ht="23.25">
      <c r="A35" s="36">
        <v>2</v>
      </c>
      <c r="B35" s="317" t="s">
        <v>56</v>
      </c>
      <c r="C35" s="317"/>
      <c r="D35" s="317"/>
      <c r="E35" s="317"/>
      <c r="F35" s="317"/>
      <c r="G35" s="317"/>
      <c r="H35" s="318"/>
    </row>
    <row r="36" spans="1:11">
      <c r="A36" s="53" t="s">
        <v>7</v>
      </c>
      <c r="B36" s="341" t="s">
        <v>57</v>
      </c>
      <c r="C36" s="341"/>
      <c r="D36" s="341"/>
      <c r="E36" s="341"/>
      <c r="F36" s="341"/>
      <c r="G36" s="341"/>
      <c r="H36" s="342"/>
    </row>
    <row r="37" spans="1:11">
      <c r="A37" s="38" t="s">
        <v>0</v>
      </c>
      <c r="B37" s="256" t="s">
        <v>58</v>
      </c>
      <c r="C37" s="256"/>
      <c r="D37" s="256"/>
      <c r="E37" s="39"/>
      <c r="F37" s="54"/>
      <c r="G37" s="55">
        <v>8.3299999999999999E-2</v>
      </c>
      <c r="H37" s="56">
        <f>SUM($H$33*G37)</f>
        <v>137.85483600000001</v>
      </c>
    </row>
    <row r="38" spans="1:11">
      <c r="A38" s="38" t="s">
        <v>1</v>
      </c>
      <c r="B38" s="39" t="s">
        <v>59</v>
      </c>
      <c r="C38" s="39"/>
      <c r="D38" s="39"/>
      <c r="E38" s="39"/>
      <c r="F38" s="57"/>
      <c r="G38" s="58">
        <v>0.121</v>
      </c>
      <c r="H38" s="56">
        <f>SUM($H$33*G38)</f>
        <v>200.24531999999999</v>
      </c>
    </row>
    <row r="39" spans="1:11" ht="16.5" thickBot="1">
      <c r="A39" s="165"/>
      <c r="B39" s="206" t="s">
        <v>16</v>
      </c>
      <c r="C39" s="206"/>
      <c r="D39" s="103"/>
      <c r="E39" s="103"/>
      <c r="F39" s="207"/>
      <c r="G39" s="214">
        <f>G37+G38</f>
        <v>0.20429999999999998</v>
      </c>
      <c r="H39" s="208">
        <f>H37+H38</f>
        <v>338.10015599999997</v>
      </c>
      <c r="K39" s="163"/>
    </row>
    <row r="40" spans="1:11" ht="15">
      <c r="A40" s="343"/>
      <c r="B40" s="343"/>
      <c r="C40" s="343"/>
      <c r="D40" s="343"/>
      <c r="E40" s="343"/>
      <c r="F40" s="343"/>
      <c r="G40" s="343"/>
      <c r="H40" s="343"/>
    </row>
    <row r="41" spans="1:11" s="3" customFormat="1">
      <c r="A41" s="60" t="s">
        <v>8</v>
      </c>
      <c r="B41" s="321" t="s">
        <v>60</v>
      </c>
      <c r="C41" s="321"/>
      <c r="D41" s="321"/>
      <c r="E41" s="321"/>
      <c r="F41" s="321"/>
      <c r="G41" s="321"/>
      <c r="H41" s="322"/>
    </row>
    <row r="42" spans="1:11">
      <c r="A42" s="38" t="s">
        <v>0</v>
      </c>
      <c r="B42" s="42" t="s">
        <v>10</v>
      </c>
      <c r="C42" s="42"/>
      <c r="D42" s="39"/>
      <c r="E42" s="39"/>
      <c r="F42" s="54"/>
      <c r="G42" s="55">
        <v>0.2</v>
      </c>
      <c r="H42" s="56">
        <f>SUM($H$33+$H$39)*G42</f>
        <v>398.60403120000001</v>
      </c>
    </row>
    <row r="43" spans="1:11">
      <c r="A43" s="38" t="s">
        <v>1</v>
      </c>
      <c r="B43" s="42" t="s">
        <v>61</v>
      </c>
      <c r="C43" s="42"/>
      <c r="D43" s="61"/>
      <c r="E43" s="61"/>
      <c r="F43" s="54"/>
      <c r="G43" s="62">
        <v>2.5000000000000001E-2</v>
      </c>
      <c r="H43" s="56">
        <f>SUM($H$33+$H$39)*G43</f>
        <v>49.825503900000001</v>
      </c>
    </row>
    <row r="44" spans="1:11">
      <c r="A44" s="38" t="s">
        <v>2</v>
      </c>
      <c r="B44" s="42" t="s">
        <v>62</v>
      </c>
      <c r="C44" s="42"/>
      <c r="D44" s="61"/>
      <c r="E44" s="61"/>
      <c r="F44" s="54"/>
      <c r="G44" s="218">
        <f>1*3/100</f>
        <v>0.03</v>
      </c>
      <c r="H44" s="56">
        <f t="shared" ref="H44:H48" si="0">SUM($H$33+$H$39)*G44</f>
        <v>59.790604680000001</v>
      </c>
    </row>
    <row r="45" spans="1:11">
      <c r="A45" s="38" t="s">
        <v>3</v>
      </c>
      <c r="B45" s="42" t="s">
        <v>63</v>
      </c>
      <c r="C45" s="42"/>
      <c r="D45" s="39"/>
      <c r="E45" s="39"/>
      <c r="F45" s="54"/>
      <c r="G45" s="62">
        <v>1.4999999999999999E-2</v>
      </c>
      <c r="H45" s="56">
        <f t="shared" si="0"/>
        <v>29.895302340000001</v>
      </c>
    </row>
    <row r="46" spans="1:11">
      <c r="A46" s="38" t="s">
        <v>4</v>
      </c>
      <c r="B46" s="42" t="s">
        <v>64</v>
      </c>
      <c r="C46" s="42"/>
      <c r="D46" s="39"/>
      <c r="E46" s="39"/>
      <c r="F46" s="54"/>
      <c r="G46" s="62">
        <v>0.01</v>
      </c>
      <c r="H46" s="56">
        <f t="shared" si="0"/>
        <v>19.93020156</v>
      </c>
    </row>
    <row r="47" spans="1:11">
      <c r="A47" s="38" t="s">
        <v>5</v>
      </c>
      <c r="B47" s="42" t="s">
        <v>11</v>
      </c>
      <c r="C47" s="42"/>
      <c r="D47" s="39"/>
      <c r="E47" s="39"/>
      <c r="F47" s="54"/>
      <c r="G47" s="63">
        <v>6.0000000000000001E-3</v>
      </c>
      <c r="H47" s="56">
        <f t="shared" si="0"/>
        <v>11.958120936</v>
      </c>
    </row>
    <row r="48" spans="1:11">
      <c r="A48" s="38" t="s">
        <v>12</v>
      </c>
      <c r="B48" s="42" t="s">
        <v>13</v>
      </c>
      <c r="C48" s="42"/>
      <c r="D48" s="64"/>
      <c r="E48" s="64"/>
      <c r="F48" s="64"/>
      <c r="G48" s="62">
        <v>2E-3</v>
      </c>
      <c r="H48" s="56">
        <f t="shared" si="0"/>
        <v>3.9860403120000001</v>
      </c>
    </row>
    <row r="49" spans="1:9">
      <c r="A49" s="38" t="s">
        <v>5</v>
      </c>
      <c r="B49" s="42" t="s">
        <v>14</v>
      </c>
      <c r="C49" s="42"/>
      <c r="D49" s="39"/>
      <c r="E49" s="39"/>
      <c r="F49" s="54"/>
      <c r="G49" s="62">
        <v>0.08</v>
      </c>
      <c r="H49" s="56">
        <f>SUM($H$33+$H$39)*G49</f>
        <v>159.44161248</v>
      </c>
    </row>
    <row r="50" spans="1:9">
      <c r="A50" s="119"/>
      <c r="B50" s="120" t="s">
        <v>16</v>
      </c>
      <c r="C50" s="120"/>
      <c r="D50" s="209"/>
      <c r="E50" s="209"/>
      <c r="F50" s="210"/>
      <c r="G50" s="123">
        <f>SUM(G42:G49)</f>
        <v>0.36800000000000005</v>
      </c>
      <c r="H50" s="124">
        <f>SUM(H42:H49)</f>
        <v>733.43141740800002</v>
      </c>
    </row>
    <row r="51" spans="1:9" ht="15">
      <c r="A51" s="319" t="s">
        <v>65</v>
      </c>
      <c r="B51" s="319"/>
      <c r="C51" s="319"/>
      <c r="D51" s="319"/>
      <c r="E51" s="319"/>
      <c r="F51" s="319"/>
      <c r="G51" s="319"/>
      <c r="H51" s="319"/>
    </row>
    <row r="52" spans="1:9" ht="15">
      <c r="A52" s="319" t="s">
        <v>66</v>
      </c>
      <c r="B52" s="319"/>
      <c r="C52" s="319"/>
      <c r="D52" s="319"/>
      <c r="E52" s="319"/>
      <c r="F52" s="319"/>
      <c r="G52" s="319"/>
      <c r="H52" s="319"/>
    </row>
    <row r="53" spans="1:9" ht="15">
      <c r="A53" s="319" t="s">
        <v>67</v>
      </c>
      <c r="B53" s="319"/>
      <c r="C53" s="319"/>
      <c r="D53" s="319"/>
      <c r="E53" s="319"/>
      <c r="F53" s="319"/>
      <c r="G53" s="319"/>
      <c r="H53" s="319"/>
    </row>
    <row r="54" spans="1:9" s="3" customFormat="1">
      <c r="A54" s="60" t="s">
        <v>15</v>
      </c>
      <c r="B54" s="321" t="s">
        <v>68</v>
      </c>
      <c r="C54" s="321"/>
      <c r="D54" s="321"/>
      <c r="E54" s="321"/>
      <c r="F54" s="321"/>
      <c r="G54" s="321"/>
      <c r="H54" s="322"/>
    </row>
    <row r="55" spans="1:9">
      <c r="A55" s="38"/>
      <c r="B55" s="65"/>
      <c r="C55" s="66"/>
      <c r="D55" s="211" t="s">
        <v>69</v>
      </c>
      <c r="E55" s="212" t="s">
        <v>70</v>
      </c>
      <c r="F55" s="212" t="s">
        <v>71</v>
      </c>
      <c r="G55" s="212" t="s">
        <v>72</v>
      </c>
      <c r="H55" s="67"/>
    </row>
    <row r="56" spans="1:9">
      <c r="A56" s="327" t="s">
        <v>0</v>
      </c>
      <c r="B56" s="68" t="s">
        <v>73</v>
      </c>
      <c r="C56" s="69"/>
      <c r="D56" s="330">
        <v>22</v>
      </c>
      <c r="E56" s="331">
        <v>2</v>
      </c>
      <c r="F56" s="333">
        <v>4.5</v>
      </c>
      <c r="G56" s="334">
        <v>0.06</v>
      </c>
      <c r="H56" s="51">
        <f>F56*E56*D56</f>
        <v>198</v>
      </c>
    </row>
    <row r="57" spans="1:9">
      <c r="A57" s="328"/>
      <c r="B57" s="70" t="s">
        <v>74</v>
      </c>
      <c r="C57" s="69"/>
      <c r="D57" s="330"/>
      <c r="E57" s="332"/>
      <c r="F57" s="332"/>
      <c r="G57" s="332"/>
      <c r="H57" s="51">
        <f>H26*G56</f>
        <v>88.899600000000007</v>
      </c>
    </row>
    <row r="58" spans="1:9">
      <c r="A58" s="329"/>
      <c r="B58" s="71" t="s">
        <v>75</v>
      </c>
      <c r="C58" s="257"/>
      <c r="D58" s="267"/>
      <c r="E58" s="73"/>
      <c r="F58" s="73"/>
      <c r="G58" s="74"/>
      <c r="H58" s="75">
        <f>H56-H57</f>
        <v>109.10039999999999</v>
      </c>
    </row>
    <row r="59" spans="1:9">
      <c r="A59" s="327" t="s">
        <v>1</v>
      </c>
      <c r="B59" s="68" t="s">
        <v>230</v>
      </c>
      <c r="C59" s="69"/>
      <c r="D59" s="330">
        <v>1</v>
      </c>
      <c r="E59" s="331">
        <v>1</v>
      </c>
      <c r="F59" s="333">
        <v>414</v>
      </c>
      <c r="G59" s="334">
        <v>0.2</v>
      </c>
      <c r="H59" s="51">
        <f>F59*E59*D59</f>
        <v>414</v>
      </c>
    </row>
    <row r="60" spans="1:9">
      <c r="A60" s="328"/>
      <c r="B60" s="70" t="s">
        <v>74</v>
      </c>
      <c r="C60" s="69"/>
      <c r="D60" s="330"/>
      <c r="E60" s="332"/>
      <c r="F60" s="332"/>
      <c r="G60" s="332"/>
      <c r="H60" s="51">
        <f>H59*G59</f>
        <v>82.800000000000011</v>
      </c>
    </row>
    <row r="61" spans="1:9">
      <c r="A61" s="329"/>
      <c r="B61" s="76" t="s">
        <v>75</v>
      </c>
      <c r="C61" s="77"/>
      <c r="D61" s="77"/>
      <c r="E61" s="77"/>
      <c r="F61" s="78"/>
      <c r="G61" s="78"/>
      <c r="H61" s="75">
        <f>H59-H60</f>
        <v>331.2</v>
      </c>
    </row>
    <row r="62" spans="1:9">
      <c r="A62" s="258" t="s">
        <v>2</v>
      </c>
      <c r="B62" s="340" t="s">
        <v>231</v>
      </c>
      <c r="C62" s="340"/>
      <c r="D62" s="340"/>
      <c r="E62" s="340"/>
      <c r="F62" s="78"/>
      <c r="G62" s="79"/>
      <c r="H62" s="219">
        <v>62.5</v>
      </c>
    </row>
    <row r="63" spans="1:9" ht="15">
      <c r="A63" s="258" t="s">
        <v>3</v>
      </c>
      <c r="B63" s="324" t="s">
        <v>232</v>
      </c>
      <c r="C63" s="324"/>
      <c r="D63" s="324"/>
      <c r="E63" s="324"/>
      <c r="F63" s="80"/>
      <c r="G63" s="81"/>
      <c r="H63" s="268">
        <v>20.5</v>
      </c>
      <c r="I63" s="127"/>
    </row>
    <row r="64" spans="1:9">
      <c r="A64" s="258" t="s">
        <v>4</v>
      </c>
      <c r="B64" s="324" t="s">
        <v>233</v>
      </c>
      <c r="C64" s="324"/>
      <c r="D64" s="324"/>
      <c r="E64" s="324"/>
      <c r="F64" s="80"/>
      <c r="G64" s="81"/>
      <c r="H64" s="219">
        <v>20.5</v>
      </c>
    </row>
    <row r="65" spans="1:8">
      <c r="A65" s="258" t="s">
        <v>5</v>
      </c>
      <c r="B65" s="324" t="s">
        <v>234</v>
      </c>
      <c r="C65" s="324"/>
      <c r="D65" s="324"/>
      <c r="E65" s="324"/>
      <c r="F65" s="80"/>
      <c r="G65" s="81"/>
      <c r="H65" s="219">
        <f>H61/12</f>
        <v>27.599999999999998</v>
      </c>
    </row>
    <row r="66" spans="1:8">
      <c r="A66" s="258" t="s">
        <v>12</v>
      </c>
      <c r="B66" s="324" t="s">
        <v>235</v>
      </c>
      <c r="C66" s="324"/>
      <c r="D66" s="324"/>
      <c r="E66" s="324"/>
      <c r="F66" s="80"/>
      <c r="G66" s="81"/>
      <c r="H66" s="219">
        <f>((137.87*6)/12)*0.005</f>
        <v>0.34467500000000001</v>
      </c>
    </row>
    <row r="67" spans="1:8" ht="16.5" thickBot="1">
      <c r="A67" s="82"/>
      <c r="B67" s="323" t="s">
        <v>16</v>
      </c>
      <c r="C67" s="323"/>
      <c r="D67" s="323"/>
      <c r="E67" s="323"/>
      <c r="F67" s="83"/>
      <c r="G67" s="83"/>
      <c r="H67" s="84">
        <f>H58+H61+H62+H63+H64+H65+H66</f>
        <v>571.74507500000004</v>
      </c>
    </row>
    <row r="68" spans="1:8" ht="15.75" customHeight="1">
      <c r="A68" s="319" t="s">
        <v>76</v>
      </c>
      <c r="B68" s="319"/>
      <c r="C68" s="319"/>
      <c r="D68" s="319"/>
      <c r="E68" s="319"/>
      <c r="F68" s="319"/>
      <c r="G68" s="319"/>
      <c r="H68" s="319"/>
    </row>
    <row r="69" spans="1:8" ht="15">
      <c r="A69" s="319" t="s">
        <v>77</v>
      </c>
      <c r="B69" s="319"/>
      <c r="C69" s="319"/>
      <c r="D69" s="319"/>
      <c r="E69" s="319"/>
      <c r="F69" s="319"/>
      <c r="G69" s="319"/>
      <c r="H69" s="319"/>
    </row>
    <row r="70" spans="1:8" s="3" customFormat="1" ht="18">
      <c r="A70" s="314" t="s">
        <v>78</v>
      </c>
      <c r="B70" s="315"/>
      <c r="C70" s="315"/>
      <c r="D70" s="315"/>
      <c r="E70" s="315"/>
      <c r="F70" s="315"/>
      <c r="G70" s="315"/>
      <c r="H70" s="316"/>
    </row>
    <row r="71" spans="1:8">
      <c r="A71" s="85" t="s">
        <v>7</v>
      </c>
      <c r="B71" s="86" t="s">
        <v>79</v>
      </c>
      <c r="C71" s="86"/>
      <c r="D71" s="87"/>
      <c r="E71" s="87"/>
      <c r="F71" s="88"/>
      <c r="G71" s="88"/>
      <c r="H71" s="89">
        <f>H39</f>
        <v>338.10015599999997</v>
      </c>
    </row>
    <row r="72" spans="1:8">
      <c r="A72" s="85" t="s">
        <v>8</v>
      </c>
      <c r="B72" s="86" t="s">
        <v>9</v>
      </c>
      <c r="C72" s="86"/>
      <c r="D72" s="87"/>
      <c r="E72" s="87"/>
      <c r="F72" s="88"/>
      <c r="G72" s="88"/>
      <c r="H72" s="89">
        <f>H50</f>
        <v>733.43141740800002</v>
      </c>
    </row>
    <row r="73" spans="1:8">
      <c r="A73" s="85" t="s">
        <v>15</v>
      </c>
      <c r="B73" s="86" t="s">
        <v>80</v>
      </c>
      <c r="C73" s="86"/>
      <c r="D73" s="87"/>
      <c r="E73" s="87"/>
      <c r="F73" s="88"/>
      <c r="G73" s="88"/>
      <c r="H73" s="89">
        <f>H67</f>
        <v>571.74507500000004</v>
      </c>
    </row>
    <row r="74" spans="1:8" ht="16.5" thickBot="1">
      <c r="A74" s="90"/>
      <c r="B74" s="91" t="s">
        <v>16</v>
      </c>
      <c r="C74" s="91"/>
      <c r="D74" s="91"/>
      <c r="E74" s="91"/>
      <c r="F74" s="92"/>
      <c r="G74" s="92"/>
      <c r="H74" s="93">
        <f>SUM(H71:H73)</f>
        <v>1643.276648408</v>
      </c>
    </row>
    <row r="75" spans="1:8" ht="16.5" thickBot="1">
      <c r="A75" s="94"/>
      <c r="B75" s="95"/>
      <c r="C75" s="95"/>
      <c r="D75" s="95"/>
      <c r="E75" s="95"/>
      <c r="F75" s="78"/>
      <c r="G75" s="78"/>
      <c r="H75" s="96"/>
    </row>
    <row r="76" spans="1:8" s="3" customFormat="1" ht="23.25">
      <c r="A76" s="36">
        <v>3</v>
      </c>
      <c r="B76" s="317" t="s">
        <v>81</v>
      </c>
      <c r="C76" s="317"/>
      <c r="D76" s="317"/>
      <c r="E76" s="317"/>
      <c r="F76" s="317"/>
      <c r="G76" s="317"/>
      <c r="H76" s="318"/>
    </row>
    <row r="77" spans="1:8">
      <c r="A77" s="38" t="s">
        <v>0</v>
      </c>
      <c r="B77" s="39" t="s">
        <v>82</v>
      </c>
      <c r="C77" s="39"/>
      <c r="D77" s="97"/>
      <c r="E77" s="97"/>
      <c r="F77" s="97"/>
      <c r="G77" s="55">
        <v>4.1999999999999997E-3</v>
      </c>
      <c r="H77" s="56">
        <f>(($H$33+$H$97)*G77)</f>
        <v>7.6719533596363636</v>
      </c>
    </row>
    <row r="78" spans="1:8">
      <c r="A78" s="38" t="s">
        <v>1</v>
      </c>
      <c r="B78" s="39" t="s">
        <v>83</v>
      </c>
      <c r="C78" s="39"/>
      <c r="D78" s="39"/>
      <c r="E78" s="39"/>
      <c r="F78" s="54"/>
      <c r="G78" s="55">
        <f>G77*G49</f>
        <v>3.3599999999999998E-4</v>
      </c>
      <c r="H78" s="56">
        <f>(($H$33+$H$97)*G78)</f>
        <v>0.61375626877090905</v>
      </c>
    </row>
    <row r="79" spans="1:8">
      <c r="A79" s="38" t="s">
        <v>2</v>
      </c>
      <c r="B79" s="39" t="s">
        <v>85</v>
      </c>
      <c r="C79" s="39"/>
      <c r="D79" s="97"/>
      <c r="E79" s="97"/>
      <c r="F79" s="97"/>
      <c r="G79" s="63">
        <v>1.9400000000000001E-2</v>
      </c>
      <c r="H79" s="56">
        <f t="shared" ref="H79:H81" si="1">(($H$33+$H$97)*G79)</f>
        <v>35.437117899272728</v>
      </c>
    </row>
    <row r="80" spans="1:8">
      <c r="A80" s="99" t="s">
        <v>3</v>
      </c>
      <c r="B80" s="100" t="s">
        <v>86</v>
      </c>
      <c r="C80" s="39"/>
      <c r="D80" s="39"/>
      <c r="E80" s="39"/>
      <c r="F80" s="54"/>
      <c r="G80" s="269">
        <f>G79*G50</f>
        <v>7.1392000000000009E-3</v>
      </c>
      <c r="H80" s="56">
        <f t="shared" si="1"/>
        <v>13.040859386932366</v>
      </c>
    </row>
    <row r="81" spans="1:8" ht="33" customHeight="1">
      <c r="A81" s="38" t="s">
        <v>4</v>
      </c>
      <c r="B81" s="270" t="s">
        <v>236</v>
      </c>
      <c r="C81" s="337" t="s">
        <v>84</v>
      </c>
      <c r="D81" s="337"/>
      <c r="E81" s="98"/>
      <c r="F81" s="98"/>
      <c r="G81" s="215">
        <f>(0.4*0.083)*((1+0.08333+0.0909+(0.0909/3)))</f>
        <v>3.9990395999999998E-2</v>
      </c>
      <c r="H81" s="56">
        <f t="shared" si="1"/>
        <v>73.048679272711567</v>
      </c>
    </row>
    <row r="82" spans="1:8" ht="16.5" thickBot="1">
      <c r="A82" s="101"/>
      <c r="B82" s="102" t="s">
        <v>16</v>
      </c>
      <c r="C82" s="102"/>
      <c r="D82" s="103"/>
      <c r="E82" s="103"/>
      <c r="F82" s="104"/>
      <c r="G82" s="105">
        <f>SUM(G77:G81)</f>
        <v>7.1065595999999995E-2</v>
      </c>
      <c r="H82" s="106">
        <f>SUM(H77:H81)</f>
        <v>129.81236618732393</v>
      </c>
    </row>
    <row r="83" spans="1:8" ht="16.5" thickBot="1">
      <c r="A83" s="107"/>
      <c r="B83" s="108"/>
      <c r="C83" s="108"/>
      <c r="D83" s="73"/>
      <c r="E83" s="73"/>
      <c r="F83" s="109"/>
      <c r="G83" s="110"/>
      <c r="H83" s="111"/>
    </row>
    <row r="84" spans="1:8" s="3" customFormat="1" ht="23.25">
      <c r="A84" s="36">
        <v>4</v>
      </c>
      <c r="B84" s="338" t="s">
        <v>87</v>
      </c>
      <c r="C84" s="338"/>
      <c r="D84" s="338"/>
      <c r="E84" s="338"/>
      <c r="F84" s="338"/>
      <c r="G84" s="338"/>
      <c r="H84" s="339"/>
    </row>
    <row r="85" spans="1:8" s="3" customFormat="1">
      <c r="A85" s="60" t="s">
        <v>17</v>
      </c>
      <c r="B85" s="321" t="s">
        <v>88</v>
      </c>
      <c r="C85" s="321"/>
      <c r="D85" s="321"/>
      <c r="E85" s="321"/>
      <c r="F85" s="321"/>
      <c r="G85" s="321"/>
      <c r="H85" s="322"/>
    </row>
    <row r="86" spans="1:8">
      <c r="A86" s="112" t="s">
        <v>0</v>
      </c>
      <c r="B86" s="42" t="s">
        <v>149</v>
      </c>
      <c r="C86" s="113"/>
      <c r="D86" s="117"/>
      <c r="E86" s="113"/>
      <c r="F86" s="118"/>
      <c r="G86" s="149">
        <f>((1+1/3)/11)/12</f>
        <v>1.01010101010101E-2</v>
      </c>
      <c r="H86" s="56">
        <f>SUM(H$33+H$74+H$82)*G86</f>
        <v>34.626353682781051</v>
      </c>
    </row>
    <row r="87" spans="1:8" ht="15" customHeight="1">
      <c r="A87" s="112" t="s">
        <v>1</v>
      </c>
      <c r="B87" s="42" t="s">
        <v>89</v>
      </c>
      <c r="C87" s="113"/>
      <c r="D87" s="114"/>
      <c r="E87" s="113"/>
      <c r="F87" s="115"/>
      <c r="G87" s="149">
        <f>(5.96/30)/12</f>
        <v>1.6555555555555556E-2</v>
      </c>
      <c r="H87" s="56">
        <f t="shared" ref="H87:H92" si="2">SUM(H$33+H$74+H$82)*G87</f>
        <v>56.752593686078143</v>
      </c>
    </row>
    <row r="88" spans="1:8">
      <c r="A88" s="112" t="s">
        <v>2</v>
      </c>
      <c r="B88" s="42" t="s">
        <v>90</v>
      </c>
      <c r="C88" s="113"/>
      <c r="D88" s="114"/>
      <c r="E88" s="113"/>
      <c r="F88" s="115"/>
      <c r="G88" s="149">
        <f>((5/30)/12)*0.05</f>
        <v>6.9444444444444447E-4</v>
      </c>
      <c r="H88" s="56">
        <f t="shared" si="2"/>
        <v>2.3805618156911974</v>
      </c>
    </row>
    <row r="89" spans="1:8">
      <c r="A89" s="112" t="s">
        <v>3</v>
      </c>
      <c r="B89" s="42" t="s">
        <v>91</v>
      </c>
      <c r="C89" s="113"/>
      <c r="D89" s="114"/>
      <c r="E89" s="113"/>
      <c r="F89" s="116"/>
      <c r="G89" s="149">
        <f>((15/30)/12)*0.2</f>
        <v>8.3333333333333332E-3</v>
      </c>
      <c r="H89" s="56">
        <f t="shared" si="2"/>
        <v>28.566741788294365</v>
      </c>
    </row>
    <row r="90" spans="1:8">
      <c r="A90" s="112" t="s">
        <v>4</v>
      </c>
      <c r="B90" s="42" t="s">
        <v>92</v>
      </c>
      <c r="C90" s="113"/>
      <c r="D90" s="114"/>
      <c r="E90" s="113"/>
      <c r="F90" s="115"/>
      <c r="G90" s="217">
        <f>((6/12)*11.11%)*0.1</f>
        <v>5.555E-3</v>
      </c>
      <c r="H90" s="56">
        <f t="shared" si="2"/>
        <v>19.042590076077026</v>
      </c>
    </row>
    <row r="91" spans="1:8">
      <c r="A91" s="112" t="s">
        <v>5</v>
      </c>
      <c r="B91" s="42" t="s">
        <v>146</v>
      </c>
      <c r="C91" s="113"/>
      <c r="D91" s="117"/>
      <c r="E91" s="113"/>
      <c r="F91" s="118"/>
      <c r="G91" s="149">
        <f>(5.96/30)/12</f>
        <v>1.6555555555555556E-2</v>
      </c>
      <c r="H91" s="56">
        <f t="shared" si="2"/>
        <v>56.752593686078143</v>
      </c>
    </row>
    <row r="92" spans="1:8">
      <c r="A92" s="112" t="s">
        <v>12</v>
      </c>
      <c r="B92" s="42" t="s">
        <v>6</v>
      </c>
      <c r="C92" s="113"/>
      <c r="D92" s="117"/>
      <c r="E92" s="113"/>
      <c r="F92" s="118"/>
      <c r="G92" s="149">
        <v>0</v>
      </c>
      <c r="H92" s="56">
        <f t="shared" si="2"/>
        <v>0</v>
      </c>
    </row>
    <row r="93" spans="1:8">
      <c r="A93" s="119"/>
      <c r="B93" s="120" t="s">
        <v>16</v>
      </c>
      <c r="C93" s="120"/>
      <c r="D93" s="121"/>
      <c r="E93" s="121"/>
      <c r="F93" s="122"/>
      <c r="G93" s="123">
        <f>SUM(G86:G92)</f>
        <v>5.7794898989898993E-2</v>
      </c>
      <c r="H93" s="124">
        <f>SUM(H86:H92)</f>
        <v>198.12143473499992</v>
      </c>
    </row>
    <row r="94" spans="1:8" ht="15">
      <c r="A94" s="325" t="s">
        <v>237</v>
      </c>
      <c r="B94" s="325"/>
      <c r="C94" s="325"/>
      <c r="D94" s="325"/>
      <c r="E94" s="325"/>
      <c r="F94" s="325"/>
      <c r="G94" s="325"/>
      <c r="H94" s="325"/>
    </row>
    <row r="95" spans="1:8" ht="15.75" customHeight="1">
      <c r="A95" s="326"/>
      <c r="B95" s="326"/>
      <c r="C95" s="326"/>
      <c r="D95" s="326"/>
      <c r="E95" s="326"/>
      <c r="F95" s="326"/>
      <c r="G95" s="326"/>
      <c r="H95" s="326"/>
    </row>
    <row r="96" spans="1:8" s="3" customFormat="1">
      <c r="A96" s="60" t="s">
        <v>18</v>
      </c>
      <c r="B96" s="321" t="s">
        <v>93</v>
      </c>
      <c r="C96" s="321"/>
      <c r="D96" s="321"/>
      <c r="E96" s="321"/>
      <c r="F96" s="321"/>
      <c r="G96" s="321"/>
      <c r="H96" s="322"/>
    </row>
    <row r="97" spans="1:13">
      <c r="A97" s="112" t="s">
        <v>0</v>
      </c>
      <c r="B97" s="42" t="s">
        <v>94</v>
      </c>
      <c r="C97" s="42"/>
      <c r="D97" s="64"/>
      <c r="E97" s="64"/>
      <c r="F97" s="125"/>
      <c r="G97" s="126">
        <f>H97/H33</f>
        <v>0.10377272727272729</v>
      </c>
      <c r="H97" s="271">
        <f>((H33/220)*1.5)*15.22</f>
        <v>171.73556181818185</v>
      </c>
      <c r="I97" s="127"/>
      <c r="K97" s="320"/>
      <c r="L97" s="320"/>
      <c r="M97" s="128"/>
    </row>
    <row r="98" spans="1:13">
      <c r="A98" s="119"/>
      <c r="B98" s="120" t="s">
        <v>16</v>
      </c>
      <c r="C98" s="120"/>
      <c r="D98" s="121"/>
      <c r="E98" s="121"/>
      <c r="F98" s="122"/>
      <c r="G98" s="123">
        <f>G97</f>
        <v>0.10377272727272729</v>
      </c>
      <c r="H98" s="124">
        <f>H97</f>
        <v>171.73556181818185</v>
      </c>
    </row>
    <row r="99" spans="1:13" s="3" customFormat="1" ht="18">
      <c r="A99" s="314" t="s">
        <v>95</v>
      </c>
      <c r="B99" s="315"/>
      <c r="C99" s="315"/>
      <c r="D99" s="315"/>
      <c r="E99" s="315"/>
      <c r="F99" s="315"/>
      <c r="G99" s="315"/>
      <c r="H99" s="316"/>
      <c r="K99" s="216"/>
    </row>
    <row r="100" spans="1:13">
      <c r="A100" s="129" t="s">
        <v>17</v>
      </c>
      <c r="B100" s="130" t="s">
        <v>96</v>
      </c>
      <c r="C100" s="130"/>
      <c r="D100" s="131"/>
      <c r="E100" s="131"/>
      <c r="F100" s="131"/>
      <c r="G100" s="132">
        <f>G93</f>
        <v>5.7794898989898993E-2</v>
      </c>
      <c r="H100" s="133">
        <f>H93</f>
        <v>198.12143473499992</v>
      </c>
    </row>
    <row r="101" spans="1:13">
      <c r="A101" s="129" t="s">
        <v>18</v>
      </c>
      <c r="B101" s="130" t="s">
        <v>97</v>
      </c>
      <c r="C101" s="130"/>
      <c r="D101" s="131"/>
      <c r="E101" s="131"/>
      <c r="F101" s="131"/>
      <c r="G101" s="132"/>
      <c r="H101" s="133">
        <f>H98</f>
        <v>171.73556181818185</v>
      </c>
    </row>
    <row r="102" spans="1:13" ht="16.5" thickBot="1">
      <c r="A102" s="134"/>
      <c r="B102" s="135" t="s">
        <v>16</v>
      </c>
      <c r="C102" s="135"/>
      <c r="D102" s="136"/>
      <c r="E102" s="136"/>
      <c r="F102" s="137"/>
      <c r="G102" s="138"/>
      <c r="H102" s="139">
        <f>SUM(H100:H101)</f>
        <v>369.85699655318177</v>
      </c>
    </row>
    <row r="103" spans="1:13" ht="16.5" thickBot="1">
      <c r="A103" s="107"/>
      <c r="B103" s="108"/>
      <c r="C103" s="108"/>
      <c r="D103" s="73"/>
      <c r="E103" s="73"/>
      <c r="F103" s="109"/>
      <c r="G103" s="110"/>
      <c r="H103" s="111"/>
    </row>
    <row r="104" spans="1:13" s="3" customFormat="1" ht="23.25">
      <c r="A104" s="36">
        <v>5</v>
      </c>
      <c r="B104" s="317" t="s">
        <v>21</v>
      </c>
      <c r="C104" s="317"/>
      <c r="D104" s="317"/>
      <c r="E104" s="317"/>
      <c r="F104" s="317"/>
      <c r="G104" s="317"/>
      <c r="H104" s="318"/>
    </row>
    <row r="105" spans="1:13">
      <c r="A105" s="112" t="s">
        <v>0</v>
      </c>
      <c r="B105" s="80" t="s">
        <v>238</v>
      </c>
      <c r="C105" s="80"/>
      <c r="D105" s="140"/>
      <c r="E105" s="39"/>
      <c r="F105" s="141"/>
      <c r="G105" s="141"/>
      <c r="H105" s="141">
        <f>'UNIFORME VIGIA '!F14</f>
        <v>60.583333333333336</v>
      </c>
      <c r="I105" s="127"/>
    </row>
    <row r="106" spans="1:13">
      <c r="A106" s="112" t="s">
        <v>1</v>
      </c>
      <c r="B106" s="80" t="s">
        <v>98</v>
      </c>
      <c r="C106" s="80"/>
      <c r="D106" s="140"/>
      <c r="E106" s="39"/>
      <c r="F106" s="141"/>
      <c r="G106" s="141"/>
      <c r="H106" s="141">
        <f>'EQUIPAMENTOS VIGIA'!F9</f>
        <v>35.156944444444441</v>
      </c>
      <c r="I106" s="127"/>
    </row>
    <row r="107" spans="1:13">
      <c r="A107" s="112" t="s">
        <v>2</v>
      </c>
      <c r="B107" s="80" t="s">
        <v>239</v>
      </c>
      <c r="C107" s="80"/>
      <c r="D107" s="140"/>
      <c r="E107" s="39"/>
      <c r="F107" s="141"/>
      <c r="G107" s="141"/>
      <c r="H107" s="141"/>
      <c r="I107" s="127"/>
    </row>
    <row r="108" spans="1:13">
      <c r="A108" s="112" t="s">
        <v>3</v>
      </c>
      <c r="B108" s="80" t="s">
        <v>6</v>
      </c>
      <c r="C108" s="80"/>
      <c r="D108" s="140"/>
      <c r="E108" s="39"/>
      <c r="F108" s="141"/>
      <c r="G108" s="141"/>
      <c r="H108" s="142"/>
    </row>
    <row r="109" spans="1:13" ht="16.5" thickBot="1">
      <c r="A109" s="101"/>
      <c r="B109" s="102" t="s">
        <v>16</v>
      </c>
      <c r="C109" s="102"/>
      <c r="D109" s="103"/>
      <c r="E109" s="103"/>
      <c r="F109" s="104"/>
      <c r="G109" s="105"/>
      <c r="H109" s="106">
        <f>SUM(H105:H108)</f>
        <v>95.740277777777777</v>
      </c>
    </row>
    <row r="110" spans="1:13" thickBot="1">
      <c r="A110" s="319" t="s">
        <v>99</v>
      </c>
      <c r="B110" s="319"/>
      <c r="C110" s="319"/>
      <c r="D110" s="319"/>
      <c r="E110" s="319"/>
      <c r="F110" s="319"/>
      <c r="G110" s="319"/>
      <c r="H110" s="319"/>
    </row>
    <row r="111" spans="1:13" s="3" customFormat="1" ht="23.25">
      <c r="A111" s="36">
        <v>6</v>
      </c>
      <c r="B111" s="317" t="s">
        <v>100</v>
      </c>
      <c r="C111" s="317"/>
      <c r="D111" s="317"/>
      <c r="E111" s="317"/>
      <c r="F111" s="317"/>
      <c r="G111" s="317"/>
      <c r="H111" s="318"/>
    </row>
    <row r="112" spans="1:13">
      <c r="A112" s="143" t="s">
        <v>0</v>
      </c>
      <c r="B112" s="39" t="s">
        <v>19</v>
      </c>
      <c r="C112" s="39"/>
      <c r="D112" s="39"/>
      <c r="E112" s="39"/>
      <c r="F112" s="144" t="s">
        <v>19</v>
      </c>
      <c r="G112" s="145">
        <v>0.12</v>
      </c>
      <c r="H112" s="56">
        <f>G112*H129</f>
        <v>467.23275467115405</v>
      </c>
      <c r="I112" s="146"/>
    </row>
    <row r="113" spans="1:9">
      <c r="A113" s="143" t="s">
        <v>1</v>
      </c>
      <c r="B113" s="39" t="s">
        <v>101</v>
      </c>
      <c r="C113" s="39"/>
      <c r="D113" s="39"/>
      <c r="E113" s="39"/>
      <c r="F113" s="72" t="s">
        <v>101</v>
      </c>
      <c r="G113" s="145">
        <v>0.1</v>
      </c>
      <c r="H113" s="56">
        <f>SUM(H112+H129)*$G$113</f>
        <v>436.08390435974383</v>
      </c>
    </row>
    <row r="114" spans="1:9">
      <c r="A114" s="143" t="s">
        <v>2</v>
      </c>
      <c r="B114" s="39" t="s">
        <v>20</v>
      </c>
      <c r="C114" s="39"/>
      <c r="D114" s="39"/>
      <c r="E114" s="39"/>
      <c r="F114" s="147"/>
      <c r="G114" s="147"/>
      <c r="H114" s="56"/>
    </row>
    <row r="115" spans="1:9">
      <c r="A115" s="143" t="s">
        <v>102</v>
      </c>
      <c r="B115" s="148" t="s">
        <v>103</v>
      </c>
      <c r="C115" s="39"/>
      <c r="D115" s="39"/>
      <c r="E115" s="39"/>
      <c r="F115" s="72" t="s">
        <v>104</v>
      </c>
      <c r="G115" s="145">
        <v>1.6500000000000001E-2</v>
      </c>
      <c r="H115" s="56">
        <f>$H$131*G115</f>
        <v>89.687511208264581</v>
      </c>
    </row>
    <row r="116" spans="1:9">
      <c r="A116" s="143" t="s">
        <v>105</v>
      </c>
      <c r="B116" s="148" t="s">
        <v>103</v>
      </c>
      <c r="C116" s="39"/>
      <c r="D116" s="39"/>
      <c r="E116" s="39"/>
      <c r="F116" s="72" t="s">
        <v>106</v>
      </c>
      <c r="G116" s="145">
        <v>7.5999999999999998E-2</v>
      </c>
      <c r="H116" s="56">
        <f>$H$131*G116</f>
        <v>413.10611223200652</v>
      </c>
      <c r="I116" s="146"/>
    </row>
    <row r="117" spans="1:9">
      <c r="A117" s="143" t="s">
        <v>107</v>
      </c>
      <c r="B117" s="59"/>
      <c r="C117" s="39"/>
      <c r="D117" s="39"/>
      <c r="E117" s="39"/>
      <c r="F117" s="69"/>
      <c r="G117" s="69"/>
      <c r="H117" s="67"/>
    </row>
    <row r="118" spans="1:9">
      <c r="A118" s="143" t="s">
        <v>108</v>
      </c>
      <c r="B118" s="148" t="s">
        <v>109</v>
      </c>
      <c r="C118" s="39"/>
      <c r="D118" s="39"/>
      <c r="E118" s="39"/>
      <c r="F118" s="72" t="s">
        <v>110</v>
      </c>
      <c r="G118" s="149">
        <v>2.5000000000000001E-2</v>
      </c>
      <c r="H118" s="56">
        <f>$H$131*G118</f>
        <v>135.89016849737058</v>
      </c>
    </row>
    <row r="119" spans="1:9">
      <c r="A119" s="143" t="s">
        <v>111</v>
      </c>
      <c r="B119" s="39"/>
      <c r="C119" s="39"/>
      <c r="D119" s="39"/>
      <c r="E119" s="39"/>
      <c r="F119" s="150" t="s">
        <v>112</v>
      </c>
      <c r="G119" s="151">
        <f>SUM(G115:G118)</f>
        <v>0.11749999999999999</v>
      </c>
      <c r="H119" s="67"/>
    </row>
    <row r="120" spans="1:9" ht="16.5" thickBot="1">
      <c r="A120" s="101"/>
      <c r="B120" s="102" t="s">
        <v>113</v>
      </c>
      <c r="C120" s="102"/>
      <c r="D120" s="103"/>
      <c r="E120" s="103"/>
      <c r="F120" s="104"/>
      <c r="G120" s="105">
        <f>G112+G113+G119</f>
        <v>0.33750000000000002</v>
      </c>
      <c r="H120" s="106">
        <f>SUM(H112:H118)</f>
        <v>1542.0004509685396</v>
      </c>
    </row>
    <row r="121" spans="1:9" ht="15">
      <c r="A121" s="319" t="s">
        <v>114</v>
      </c>
      <c r="B121" s="319"/>
      <c r="C121" s="319"/>
      <c r="D121" s="319"/>
      <c r="E121" s="319"/>
      <c r="F121" s="319"/>
      <c r="G121" s="319"/>
      <c r="H121" s="319"/>
      <c r="I121" s="152"/>
    </row>
    <row r="122" spans="1:9" thickBot="1">
      <c r="A122" s="319" t="s">
        <v>115</v>
      </c>
      <c r="B122" s="319"/>
      <c r="C122" s="319"/>
      <c r="D122" s="319"/>
      <c r="E122" s="319"/>
      <c r="F122" s="319"/>
      <c r="G122" s="319"/>
      <c r="H122" s="319"/>
    </row>
    <row r="123" spans="1:9" s="3" customFormat="1">
      <c r="A123" s="153"/>
      <c r="B123" s="335" t="s">
        <v>116</v>
      </c>
      <c r="C123" s="335"/>
      <c r="D123" s="335"/>
      <c r="E123" s="335"/>
      <c r="F123" s="335"/>
      <c r="G123" s="335"/>
      <c r="H123" s="336"/>
    </row>
    <row r="124" spans="1:9">
      <c r="A124" s="154" t="s">
        <v>0</v>
      </c>
      <c r="B124" s="155" t="s">
        <v>117</v>
      </c>
      <c r="C124" s="155"/>
      <c r="D124" s="155"/>
      <c r="E124" s="155"/>
      <c r="F124" s="156"/>
      <c r="G124" s="157"/>
      <c r="H124" s="158">
        <f>SUM(H33)</f>
        <v>1654.92</v>
      </c>
    </row>
    <row r="125" spans="1:9">
      <c r="A125" s="154" t="s">
        <v>1</v>
      </c>
      <c r="B125" s="155" t="s">
        <v>118</v>
      </c>
      <c r="C125" s="155"/>
      <c r="D125" s="155"/>
      <c r="E125" s="155"/>
      <c r="F125" s="156"/>
      <c r="G125" s="157"/>
      <c r="H125" s="158">
        <f>H74</f>
        <v>1643.276648408</v>
      </c>
    </row>
    <row r="126" spans="1:9">
      <c r="A126" s="154" t="s">
        <v>2</v>
      </c>
      <c r="B126" s="155" t="s">
        <v>119</v>
      </c>
      <c r="C126" s="155"/>
      <c r="D126" s="155"/>
      <c r="E126" s="155"/>
      <c r="F126" s="156"/>
      <c r="G126" s="157"/>
      <c r="H126" s="158">
        <f>H82</f>
        <v>129.81236618732393</v>
      </c>
    </row>
    <row r="127" spans="1:9">
      <c r="A127" s="154" t="s">
        <v>3</v>
      </c>
      <c r="B127" s="155" t="s">
        <v>120</v>
      </c>
      <c r="C127" s="155"/>
      <c r="D127" s="155"/>
      <c r="E127" s="155"/>
      <c r="F127" s="156"/>
      <c r="G127" s="157"/>
      <c r="H127" s="158">
        <f>H102</f>
        <v>369.85699655318177</v>
      </c>
    </row>
    <row r="128" spans="1:9">
      <c r="A128" s="154" t="s">
        <v>4</v>
      </c>
      <c r="B128" s="155" t="s">
        <v>21</v>
      </c>
      <c r="C128" s="155"/>
      <c r="D128" s="155"/>
      <c r="E128" s="155"/>
      <c r="F128" s="156"/>
      <c r="G128" s="157"/>
      <c r="H128" s="158">
        <f>H109</f>
        <v>95.740277777777777</v>
      </c>
    </row>
    <row r="129" spans="1:11">
      <c r="A129" s="154"/>
      <c r="B129" s="159" t="s">
        <v>121</v>
      </c>
      <c r="C129" s="159"/>
      <c r="D129" s="159"/>
      <c r="E129" s="159"/>
      <c r="F129" s="160"/>
      <c r="G129" s="161"/>
      <c r="H129" s="162">
        <f>SUM(H124:H128)</f>
        <v>3893.6062889262839</v>
      </c>
      <c r="I129" s="163"/>
      <c r="K129" s="163"/>
    </row>
    <row r="130" spans="1:11">
      <c r="A130" s="154" t="s">
        <v>4</v>
      </c>
      <c r="B130" s="155" t="s">
        <v>122</v>
      </c>
      <c r="C130" s="155"/>
      <c r="D130" s="155"/>
      <c r="E130" s="155"/>
      <c r="F130" s="156"/>
      <c r="G130" s="164"/>
      <c r="H130" s="158">
        <f>H120</f>
        <v>1542.0004509685396</v>
      </c>
      <c r="K130" s="1"/>
    </row>
    <row r="131" spans="1:11" ht="16.5" thickBot="1">
      <c r="A131" s="165"/>
      <c r="B131" s="102" t="s">
        <v>123</v>
      </c>
      <c r="C131" s="102"/>
      <c r="D131" s="102"/>
      <c r="E131" s="102"/>
      <c r="F131" s="102"/>
      <c r="G131" s="166"/>
      <c r="H131" s="167">
        <f>(H129+H112+H113)/(1-G119)</f>
        <v>5435.6067398948226</v>
      </c>
      <c r="K131" s="2"/>
    </row>
    <row r="132" spans="1:11" ht="16.5" thickBot="1">
      <c r="A132" s="168"/>
      <c r="B132" s="108"/>
      <c r="C132" s="108"/>
      <c r="D132" s="108"/>
      <c r="E132" s="108"/>
      <c r="F132" s="108"/>
      <c r="G132" s="169"/>
      <c r="H132" s="170"/>
      <c r="K132" s="2"/>
    </row>
    <row r="133" spans="1:11" s="3" customFormat="1">
      <c r="A133" s="153"/>
      <c r="B133" s="335" t="s">
        <v>124</v>
      </c>
      <c r="C133" s="335"/>
      <c r="D133" s="335"/>
      <c r="E133" s="335"/>
      <c r="F133" s="335"/>
      <c r="G133" s="335"/>
      <c r="H133" s="336"/>
    </row>
    <row r="134" spans="1:11" ht="54.75" customHeight="1">
      <c r="A134" s="171"/>
      <c r="B134" s="172" t="s">
        <v>37</v>
      </c>
      <c r="C134" s="172"/>
      <c r="D134" s="173" t="s">
        <v>125</v>
      </c>
      <c r="E134" s="173" t="s">
        <v>126</v>
      </c>
      <c r="F134" s="174" t="s">
        <v>127</v>
      </c>
      <c r="G134" s="173" t="s">
        <v>128</v>
      </c>
      <c r="H134" s="175" t="s">
        <v>129</v>
      </c>
    </row>
    <row r="135" spans="1:11" ht="16.5" thickBot="1">
      <c r="A135" s="171"/>
      <c r="B135" s="176" t="s">
        <v>130</v>
      </c>
      <c r="C135" s="176"/>
      <c r="D135" s="176" t="s">
        <v>131</v>
      </c>
      <c r="E135" s="177" t="s">
        <v>132</v>
      </c>
      <c r="F135" s="178" t="s">
        <v>133</v>
      </c>
      <c r="G135" s="176" t="s">
        <v>134</v>
      </c>
      <c r="H135" s="179" t="s">
        <v>135</v>
      </c>
    </row>
    <row r="136" spans="1:11" ht="16.5" thickBot="1">
      <c r="A136" s="180"/>
      <c r="B136" s="181"/>
      <c r="C136" s="181"/>
      <c r="D136" s="182">
        <f>SUM(H131)</f>
        <v>5435.6067398948226</v>
      </c>
      <c r="E136" s="183">
        <v>2</v>
      </c>
      <c r="F136" s="182">
        <f>D136*E136</f>
        <v>10871.213479789645</v>
      </c>
      <c r="G136" s="220">
        <f>E14</f>
        <v>1</v>
      </c>
      <c r="H136" s="213">
        <f>G136*F136</f>
        <v>10871.213479789645</v>
      </c>
    </row>
    <row r="137" spans="1:11" ht="16.5" thickBot="1">
      <c r="A137" s="184"/>
      <c r="B137" s="185" t="s">
        <v>136</v>
      </c>
      <c r="C137" s="185"/>
      <c r="D137" s="186"/>
      <c r="E137" s="186"/>
      <c r="F137" s="186"/>
      <c r="G137" s="186"/>
      <c r="H137" s="187">
        <f>SUM(H136)</f>
        <v>10871.213479789645</v>
      </c>
    </row>
    <row r="138" spans="1:11" ht="16.5" thickBot="1">
      <c r="A138" s="188"/>
      <c r="B138" s="189"/>
      <c r="C138" s="189"/>
      <c r="D138" s="190"/>
      <c r="E138" s="189"/>
      <c r="F138" s="189"/>
      <c r="G138" s="189"/>
      <c r="H138" s="189"/>
    </row>
    <row r="139" spans="1:11" s="3" customFormat="1">
      <c r="A139" s="153"/>
      <c r="B139" s="335" t="s">
        <v>137</v>
      </c>
      <c r="C139" s="335"/>
      <c r="D139" s="335"/>
      <c r="E139" s="335"/>
      <c r="F139" s="335"/>
      <c r="G139" s="335"/>
      <c r="H139" s="336"/>
    </row>
    <row r="140" spans="1:11">
      <c r="A140" s="191"/>
      <c r="B140" s="192" t="s">
        <v>23</v>
      </c>
      <c r="C140" s="192"/>
      <c r="D140" s="192"/>
      <c r="E140" s="172"/>
      <c r="F140" s="172"/>
      <c r="G140" s="172"/>
      <c r="H140" s="193" t="s">
        <v>138</v>
      </c>
    </row>
    <row r="141" spans="1:11">
      <c r="A141" s="194" t="s">
        <v>0</v>
      </c>
      <c r="B141" s="195" t="s">
        <v>139</v>
      </c>
      <c r="C141" s="195"/>
      <c r="D141" s="195"/>
      <c r="E141" s="196"/>
      <c r="F141" s="196"/>
      <c r="G141" s="196"/>
      <c r="H141" s="193">
        <f>D136</f>
        <v>5435.6067398948226</v>
      </c>
    </row>
    <row r="142" spans="1:11" ht="16.5" thickBot="1">
      <c r="A142" s="194" t="s">
        <v>1</v>
      </c>
      <c r="B142" s="195" t="s">
        <v>140</v>
      </c>
      <c r="C142" s="195"/>
      <c r="D142" s="195"/>
      <c r="E142" s="196"/>
      <c r="F142" s="196"/>
      <c r="G142" s="196"/>
      <c r="H142" s="193">
        <f>H137</f>
        <v>10871.213479789645</v>
      </c>
      <c r="I142" s="2"/>
      <c r="K142" s="2"/>
    </row>
    <row r="143" spans="1:11" ht="16.5" thickBot="1">
      <c r="A143" s="197" t="s">
        <v>3</v>
      </c>
      <c r="B143" s="198" t="s">
        <v>141</v>
      </c>
      <c r="C143" s="198"/>
      <c r="D143" s="199"/>
      <c r="E143" s="200"/>
      <c r="F143" s="200"/>
      <c r="G143" s="183">
        <v>12</v>
      </c>
      <c r="H143" s="201">
        <f>SUM(H142*G143)</f>
        <v>130454.56175747575</v>
      </c>
    </row>
    <row r="144" spans="1:11" ht="15">
      <c r="A144" s="319" t="s">
        <v>142</v>
      </c>
      <c r="B144" s="319"/>
      <c r="C144" s="319"/>
      <c r="D144" s="319"/>
      <c r="E144" s="319"/>
      <c r="F144" s="319"/>
      <c r="G144" s="319"/>
      <c r="H144" s="319"/>
    </row>
    <row r="145" spans="1:8">
      <c r="A145" s="221" t="s">
        <v>143</v>
      </c>
      <c r="B145" s="222" t="s">
        <v>144</v>
      </c>
      <c r="G145" s="203" t="s">
        <v>240</v>
      </c>
      <c r="H145" s="272">
        <f>H142/H33</f>
        <v>6.5690265872608009</v>
      </c>
    </row>
    <row r="146" spans="1:8">
      <c r="A146" s="202" t="s">
        <v>143</v>
      </c>
      <c r="B146" s="203" t="s">
        <v>145</v>
      </c>
    </row>
    <row r="147" spans="1:8">
      <c r="H147" s="273"/>
    </row>
  </sheetData>
  <mergeCells count="64">
    <mergeCell ref="B139:H139"/>
    <mergeCell ref="A144:H144"/>
    <mergeCell ref="B111:H111"/>
    <mergeCell ref="A121:H121"/>
    <mergeCell ref="A122:H122"/>
    <mergeCell ref="B123:H123"/>
    <mergeCell ref="B133:H133"/>
    <mergeCell ref="B76:H76"/>
    <mergeCell ref="C81:D81"/>
    <mergeCell ref="B84:H84"/>
    <mergeCell ref="B85:H85"/>
    <mergeCell ref="A94:H95"/>
    <mergeCell ref="B66:E66"/>
    <mergeCell ref="B67:E67"/>
    <mergeCell ref="A68:H68"/>
    <mergeCell ref="A69:H69"/>
    <mergeCell ref="A70:H70"/>
    <mergeCell ref="B65:E65"/>
    <mergeCell ref="A59:A61"/>
    <mergeCell ref="D59:D60"/>
    <mergeCell ref="E59:E60"/>
    <mergeCell ref="F59:F60"/>
    <mergeCell ref="B62:E62"/>
    <mergeCell ref="B41:H41"/>
    <mergeCell ref="A51:H51"/>
    <mergeCell ref="A52:H52"/>
    <mergeCell ref="B63:E63"/>
    <mergeCell ref="B64:E64"/>
    <mergeCell ref="G59:G60"/>
    <mergeCell ref="A53:H53"/>
    <mergeCell ref="B54:H54"/>
    <mergeCell ref="A56:A58"/>
    <mergeCell ref="D56:D57"/>
    <mergeCell ref="E56:E57"/>
    <mergeCell ref="F56:F57"/>
    <mergeCell ref="G56:G57"/>
    <mergeCell ref="B25:H25"/>
    <mergeCell ref="A34:H34"/>
    <mergeCell ref="B35:H35"/>
    <mergeCell ref="B36:H36"/>
    <mergeCell ref="A40:H40"/>
    <mergeCell ref="A18:H18"/>
    <mergeCell ref="A7:H7"/>
    <mergeCell ref="C8:D8"/>
    <mergeCell ref="C9:D9"/>
    <mergeCell ref="C11:D11"/>
    <mergeCell ref="A12:H12"/>
    <mergeCell ref="E13:G13"/>
    <mergeCell ref="E14:G14"/>
    <mergeCell ref="E15:H15"/>
    <mergeCell ref="E16:H16"/>
    <mergeCell ref="B17:H17"/>
    <mergeCell ref="C10:E10"/>
    <mergeCell ref="A1:H1"/>
    <mergeCell ref="A2:H2"/>
    <mergeCell ref="A3:H3"/>
    <mergeCell ref="C4:D4"/>
    <mergeCell ref="E4:H6"/>
    <mergeCell ref="C5:D5"/>
    <mergeCell ref="B96:H96"/>
    <mergeCell ref="K97:L97"/>
    <mergeCell ref="A99:H99"/>
    <mergeCell ref="B104:H104"/>
    <mergeCell ref="A110:H110"/>
  </mergeCells>
  <dataValidations disablePrompts="1" count="3">
    <dataValidation operator="equal" allowBlank="1" showErrorMessage="1" sqref="E27"/>
    <dataValidation type="list" operator="equal" allowBlank="1" showErrorMessage="1" sqref="D29">
      <formula1>$J$27:$J$31</formula1>
      <formula2>0</formula2>
    </dataValidation>
    <dataValidation operator="equal" allowBlank="1" showErrorMessage="1" promptTitle="Percentual" sqref="E29"/>
  </dataValidations>
  <pageMargins left="0.98425196850393704" right="0.59055118110236227" top="1.3779527559055118" bottom="0.59055118110236227" header="0.31496062992125984" footer="0.31496062992125984"/>
  <pageSetup paperSize="9" scale="4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7"/>
  <sheetViews>
    <sheetView topLeftCell="A124" zoomScale="80" zoomScaleNormal="80" workbookViewId="0">
      <selection activeCell="H107" sqref="H107"/>
    </sheetView>
  </sheetViews>
  <sheetFormatPr defaultRowHeight="15.75"/>
  <cols>
    <col min="1" max="1" width="4.85546875" style="202" bestFit="1" customWidth="1"/>
    <col min="2" max="2" width="74.85546875" style="203" bestFit="1" customWidth="1"/>
    <col min="3" max="3" width="5" style="203" customWidth="1"/>
    <col min="4" max="4" width="51" style="203" bestFit="1" customWidth="1"/>
    <col min="5" max="5" width="17.42578125" style="203" customWidth="1"/>
    <col min="6" max="6" width="18" style="203" customWidth="1"/>
    <col min="7" max="7" width="17.7109375" style="203" bestFit="1" customWidth="1"/>
    <col min="8" max="8" width="21.42578125" style="203" customWidth="1"/>
    <col min="9" max="9" width="15.7109375" bestFit="1" customWidth="1"/>
    <col min="11" max="11" width="31" customWidth="1"/>
    <col min="12" max="12" width="12.5703125" bestFit="1" customWidth="1"/>
    <col min="13" max="13" width="15.28515625" customWidth="1"/>
  </cols>
  <sheetData>
    <row r="1" spans="1:8" ht="15" customHeight="1">
      <c r="A1" s="358" t="s">
        <v>25</v>
      </c>
      <c r="B1" s="358"/>
      <c r="C1" s="358"/>
      <c r="D1" s="358"/>
      <c r="E1" s="358"/>
      <c r="F1" s="358"/>
      <c r="G1" s="358"/>
      <c r="H1" s="358"/>
    </row>
    <row r="2" spans="1:8" ht="15.75" customHeight="1" thickBot="1">
      <c r="A2" s="358" t="s">
        <v>26</v>
      </c>
      <c r="B2" s="358"/>
      <c r="C2" s="358"/>
      <c r="D2" s="358"/>
      <c r="E2" s="358"/>
      <c r="F2" s="358"/>
      <c r="G2" s="358"/>
      <c r="H2" s="358"/>
    </row>
    <row r="3" spans="1:8" s="3" customFormat="1" ht="18">
      <c r="A3" s="359" t="s">
        <v>27</v>
      </c>
      <c r="B3" s="360"/>
      <c r="C3" s="360"/>
      <c r="D3" s="360"/>
      <c r="E3" s="360"/>
      <c r="F3" s="360"/>
      <c r="G3" s="360"/>
      <c r="H3" s="361"/>
    </row>
    <row r="4" spans="1:8" ht="15">
      <c r="A4" s="4" t="s">
        <v>0</v>
      </c>
      <c r="B4" s="5" t="s">
        <v>28</v>
      </c>
      <c r="C4" s="362" t="s">
        <v>147</v>
      </c>
      <c r="D4" s="362"/>
      <c r="E4" s="363"/>
      <c r="F4" s="363"/>
      <c r="G4" s="363"/>
      <c r="H4" s="364"/>
    </row>
    <row r="5" spans="1:8" ht="15">
      <c r="A5" s="4" t="s">
        <v>1</v>
      </c>
      <c r="B5" s="5" t="s">
        <v>29</v>
      </c>
      <c r="C5" s="365" t="s">
        <v>147</v>
      </c>
      <c r="D5" s="365"/>
      <c r="E5" s="363"/>
      <c r="F5" s="363"/>
      <c r="G5" s="363"/>
      <c r="H5" s="364"/>
    </row>
    <row r="6" spans="1:8" ht="15">
      <c r="A6" s="4" t="s">
        <v>2</v>
      </c>
      <c r="B6" s="5" t="s">
        <v>30</v>
      </c>
      <c r="C6" s="5"/>
      <c r="D6" s="6" t="s">
        <v>148</v>
      </c>
      <c r="E6" s="363"/>
      <c r="F6" s="363"/>
      <c r="G6" s="363"/>
      <c r="H6" s="364"/>
    </row>
    <row r="7" spans="1:8" s="3" customFormat="1" ht="18">
      <c r="A7" s="349" t="s">
        <v>31</v>
      </c>
      <c r="B7" s="344"/>
      <c r="C7" s="344"/>
      <c r="D7" s="344"/>
      <c r="E7" s="344"/>
      <c r="F7" s="344"/>
      <c r="G7" s="344"/>
      <c r="H7" s="345"/>
    </row>
    <row r="8" spans="1:8" ht="15">
      <c r="A8" s="7" t="s">
        <v>0</v>
      </c>
      <c r="B8" s="8" t="s">
        <v>32</v>
      </c>
      <c r="C8" s="354" t="s">
        <v>147</v>
      </c>
      <c r="D8" s="355"/>
      <c r="E8" s="9"/>
      <c r="F8" s="9"/>
      <c r="G8" s="9"/>
      <c r="H8" s="10"/>
    </row>
    <row r="9" spans="1:8">
      <c r="A9" s="7" t="s">
        <v>1</v>
      </c>
      <c r="B9" s="8" t="s">
        <v>33</v>
      </c>
      <c r="C9" s="356" t="s">
        <v>220</v>
      </c>
      <c r="D9" s="356"/>
      <c r="E9" s="11"/>
      <c r="F9" s="11"/>
      <c r="G9" s="11"/>
      <c r="H9" s="12"/>
    </row>
    <row r="10" spans="1:8" ht="15" customHeight="1">
      <c r="A10" s="7" t="s">
        <v>2</v>
      </c>
      <c r="B10" s="8" t="s">
        <v>34</v>
      </c>
      <c r="C10" s="357" t="s">
        <v>221</v>
      </c>
      <c r="D10" s="357"/>
      <c r="E10" s="357"/>
      <c r="F10" s="11"/>
      <c r="G10" s="11"/>
      <c r="H10" s="12"/>
    </row>
    <row r="11" spans="1:8" ht="15">
      <c r="A11" s="7" t="s">
        <v>3</v>
      </c>
      <c r="B11" s="8" t="s">
        <v>35</v>
      </c>
      <c r="C11" s="357">
        <v>12</v>
      </c>
      <c r="D11" s="357"/>
      <c r="E11" s="11"/>
      <c r="F11" s="11"/>
      <c r="G11" s="11"/>
      <c r="H11" s="12"/>
    </row>
    <row r="12" spans="1:8" s="3" customFormat="1" ht="18">
      <c r="A12" s="349" t="s">
        <v>36</v>
      </c>
      <c r="B12" s="344"/>
      <c r="C12" s="344"/>
      <c r="D12" s="344"/>
      <c r="E12" s="344"/>
      <c r="F12" s="344"/>
      <c r="G12" s="344"/>
      <c r="H12" s="345"/>
    </row>
    <row r="13" spans="1:8" ht="15.75" customHeight="1">
      <c r="A13" s="7"/>
      <c r="B13" s="13" t="s">
        <v>37</v>
      </c>
      <c r="C13" s="13"/>
      <c r="D13" s="14" t="s">
        <v>38</v>
      </c>
      <c r="E13" s="350" t="s">
        <v>39</v>
      </c>
      <c r="F13" s="350"/>
      <c r="G13" s="350"/>
      <c r="H13" s="15" t="s">
        <v>24</v>
      </c>
    </row>
    <row r="14" spans="1:8" ht="15">
      <c r="A14" s="7" t="s">
        <v>0</v>
      </c>
      <c r="B14" s="16" t="s">
        <v>241</v>
      </c>
      <c r="C14" s="17"/>
      <c r="D14" s="18" t="s">
        <v>223</v>
      </c>
      <c r="E14" s="351">
        <v>1</v>
      </c>
      <c r="F14" s="351"/>
      <c r="G14" s="351"/>
      <c r="H14" s="19" t="s">
        <v>40</v>
      </c>
    </row>
    <row r="15" spans="1:8" ht="15">
      <c r="A15" s="7" t="s">
        <v>1</v>
      </c>
      <c r="B15" s="8"/>
      <c r="C15" s="8"/>
      <c r="D15" s="260" t="s">
        <v>224</v>
      </c>
      <c r="E15" s="352"/>
      <c r="F15" s="352"/>
      <c r="G15" s="352"/>
      <c r="H15" s="353"/>
    </row>
    <row r="16" spans="1:8" ht="15">
      <c r="A16" s="7" t="s">
        <v>2</v>
      </c>
      <c r="B16" s="8"/>
      <c r="C16" s="8"/>
      <c r="D16" s="260" t="s">
        <v>225</v>
      </c>
      <c r="E16" s="352"/>
      <c r="F16" s="352"/>
      <c r="G16" s="352"/>
      <c r="H16" s="353"/>
    </row>
    <row r="17" spans="1:11" s="3" customFormat="1" ht="18">
      <c r="A17" s="21"/>
      <c r="B17" s="344" t="s">
        <v>41</v>
      </c>
      <c r="C17" s="344"/>
      <c r="D17" s="344"/>
      <c r="E17" s="344"/>
      <c r="F17" s="344"/>
      <c r="G17" s="344"/>
      <c r="H17" s="345"/>
    </row>
    <row r="18" spans="1:11" ht="18">
      <c r="A18" s="346" t="s">
        <v>42</v>
      </c>
      <c r="B18" s="347"/>
      <c r="C18" s="347"/>
      <c r="D18" s="347"/>
      <c r="E18" s="347"/>
      <c r="F18" s="347"/>
      <c r="G18" s="347"/>
      <c r="H18" s="348"/>
    </row>
    <row r="19" spans="1:11" ht="15">
      <c r="A19" s="7">
        <v>1</v>
      </c>
      <c r="B19" s="8" t="s">
        <v>37</v>
      </c>
      <c r="C19" s="8"/>
      <c r="D19" s="16" t="str">
        <f>B14</f>
        <v xml:space="preserve">VIGIA </v>
      </c>
      <c r="E19" s="16"/>
      <c r="F19" s="16"/>
      <c r="G19" s="16"/>
      <c r="H19" s="22"/>
    </row>
    <row r="20" spans="1:11" ht="15">
      <c r="A20" s="7">
        <v>2</v>
      </c>
      <c r="B20" s="8" t="s">
        <v>43</v>
      </c>
      <c r="C20" s="8"/>
      <c r="D20" s="23" t="s">
        <v>216</v>
      </c>
      <c r="E20" s="23"/>
      <c r="F20" s="23"/>
      <c r="G20" s="23"/>
      <c r="H20" s="24"/>
    </row>
    <row r="21" spans="1:11" ht="15">
      <c r="A21" s="7">
        <v>3</v>
      </c>
      <c r="B21" s="8" t="s">
        <v>44</v>
      </c>
      <c r="C21" s="8"/>
      <c r="D21" s="25">
        <v>1481.66</v>
      </c>
      <c r="E21" s="26"/>
      <c r="F21" s="26"/>
      <c r="G21" s="26"/>
      <c r="H21" s="27"/>
    </row>
    <row r="22" spans="1:11" ht="15">
      <c r="A22" s="4">
        <v>4</v>
      </c>
      <c r="B22" s="20" t="s">
        <v>45</v>
      </c>
      <c r="C22" s="20"/>
      <c r="D22" s="11" t="s">
        <v>241</v>
      </c>
      <c r="E22" s="11"/>
      <c r="F22" s="11"/>
      <c r="G22" s="11"/>
      <c r="H22" s="12"/>
      <c r="K22" s="28"/>
    </row>
    <row r="23" spans="1:11" thickBot="1">
      <c r="A23" s="29">
        <v>5</v>
      </c>
      <c r="B23" s="30" t="s">
        <v>46</v>
      </c>
      <c r="C23" s="30"/>
      <c r="D23" s="31" t="s">
        <v>47</v>
      </c>
      <c r="E23" s="31"/>
      <c r="F23" s="31"/>
      <c r="G23" s="31"/>
      <c r="H23" s="32"/>
      <c r="K23" s="28"/>
    </row>
    <row r="24" spans="1:11" thickBot="1">
      <c r="A24" s="33"/>
      <c r="B24" s="34"/>
      <c r="C24" s="34"/>
      <c r="D24" s="35"/>
      <c r="E24" s="35"/>
      <c r="F24" s="35"/>
      <c r="G24" s="35"/>
      <c r="H24" s="35"/>
      <c r="K24" s="28"/>
    </row>
    <row r="25" spans="1:11" s="3" customFormat="1" ht="23.25">
      <c r="A25" s="36">
        <v>1</v>
      </c>
      <c r="B25" s="317" t="s">
        <v>48</v>
      </c>
      <c r="C25" s="317"/>
      <c r="D25" s="317"/>
      <c r="E25" s="317"/>
      <c r="F25" s="317"/>
      <c r="G25" s="317"/>
      <c r="H25" s="318"/>
      <c r="K25" s="37"/>
    </row>
    <row r="26" spans="1:11">
      <c r="A26" s="38" t="s">
        <v>0</v>
      </c>
      <c r="B26" s="39" t="s">
        <v>49</v>
      </c>
      <c r="C26" s="39"/>
      <c r="D26" s="40"/>
      <c r="E26" s="41"/>
      <c r="F26" s="41"/>
      <c r="G26" s="54"/>
      <c r="H26" s="204">
        <f>D21</f>
        <v>1481.66</v>
      </c>
      <c r="K26" s="28"/>
    </row>
    <row r="27" spans="1:11">
      <c r="A27" s="38" t="s">
        <v>1</v>
      </c>
      <c r="B27" s="42" t="s">
        <v>200</v>
      </c>
      <c r="C27" s="43"/>
      <c r="D27" s="261" t="s">
        <v>226</v>
      </c>
      <c r="E27" s="45">
        <v>0</v>
      </c>
      <c r="F27" s="50"/>
      <c r="G27" s="41"/>
      <c r="H27" s="262">
        <v>27.13</v>
      </c>
      <c r="K27" s="28"/>
    </row>
    <row r="28" spans="1:11">
      <c r="A28" s="38" t="s">
        <v>2</v>
      </c>
      <c r="B28" s="42" t="s">
        <v>50</v>
      </c>
      <c r="C28" s="43"/>
      <c r="D28" s="46" t="s">
        <v>51</v>
      </c>
      <c r="E28" s="47" t="s">
        <v>22</v>
      </c>
      <c r="F28" s="46" t="s">
        <v>52</v>
      </c>
      <c r="G28" s="48"/>
      <c r="H28" s="223">
        <v>0</v>
      </c>
      <c r="K28" s="28"/>
    </row>
    <row r="29" spans="1:11">
      <c r="A29" s="38"/>
      <c r="B29" s="42"/>
      <c r="C29" s="43"/>
      <c r="D29" s="44" t="s">
        <v>53</v>
      </c>
      <c r="E29" s="45">
        <v>0</v>
      </c>
      <c r="F29" s="49">
        <v>0</v>
      </c>
      <c r="G29" s="48"/>
      <c r="H29" s="223">
        <v>0</v>
      </c>
      <c r="K29" s="28"/>
    </row>
    <row r="30" spans="1:11">
      <c r="A30" s="38" t="s">
        <v>3</v>
      </c>
      <c r="B30" s="42" t="s">
        <v>54</v>
      </c>
      <c r="C30" s="43"/>
      <c r="D30" s="263"/>
      <c r="E30" s="263"/>
      <c r="F30" s="263"/>
      <c r="G30" s="39"/>
      <c r="H30" s="223">
        <v>0</v>
      </c>
    </row>
    <row r="31" spans="1:11">
      <c r="A31" s="38" t="s">
        <v>4</v>
      </c>
      <c r="B31" s="42" t="s">
        <v>227</v>
      </c>
      <c r="C31" s="43"/>
      <c r="D31" s="261" t="s">
        <v>228</v>
      </c>
      <c r="E31" s="264">
        <f>((H26+H27)/220)*1.5</f>
        <v>10.287204545454546</v>
      </c>
      <c r="F31" s="265">
        <f>(50-44)*4.5</f>
        <v>27</v>
      </c>
      <c r="G31" s="48"/>
      <c r="H31" s="224">
        <f>E31*F31</f>
        <v>277.75452272727273</v>
      </c>
    </row>
    <row r="32" spans="1:11">
      <c r="A32" s="38" t="s">
        <v>5</v>
      </c>
      <c r="B32" s="42" t="s">
        <v>229</v>
      </c>
      <c r="C32" s="42"/>
      <c r="D32" s="39"/>
      <c r="E32" s="266"/>
      <c r="F32" s="48"/>
      <c r="G32" s="48"/>
      <c r="H32" s="219">
        <f>H31*E32</f>
        <v>0</v>
      </c>
    </row>
    <row r="33" spans="1:11" ht="16.5" thickBot="1">
      <c r="A33" s="205"/>
      <c r="B33" s="206" t="s">
        <v>16</v>
      </c>
      <c r="C33" s="206"/>
      <c r="D33" s="103"/>
      <c r="E33" s="103"/>
      <c r="F33" s="207"/>
      <c r="G33" s="207"/>
      <c r="H33" s="208">
        <f>ROUND(SUM(H26:H32),2)</f>
        <v>1786.54</v>
      </c>
    </row>
    <row r="34" spans="1:11" ht="15.75" customHeight="1" thickBot="1">
      <c r="A34" s="343" t="s">
        <v>55</v>
      </c>
      <c r="B34" s="343"/>
      <c r="C34" s="343"/>
      <c r="D34" s="343"/>
      <c r="E34" s="343"/>
      <c r="F34" s="343"/>
      <c r="G34" s="343"/>
      <c r="H34" s="343"/>
    </row>
    <row r="35" spans="1:11" s="52" customFormat="1" ht="23.25">
      <c r="A35" s="36">
        <v>2</v>
      </c>
      <c r="B35" s="317" t="s">
        <v>56</v>
      </c>
      <c r="C35" s="317"/>
      <c r="D35" s="317"/>
      <c r="E35" s="317"/>
      <c r="F35" s="317"/>
      <c r="G35" s="317"/>
      <c r="H35" s="318"/>
    </row>
    <row r="36" spans="1:11">
      <c r="A36" s="53" t="s">
        <v>7</v>
      </c>
      <c r="B36" s="341" t="s">
        <v>57</v>
      </c>
      <c r="C36" s="341"/>
      <c r="D36" s="341"/>
      <c r="E36" s="341"/>
      <c r="F36" s="341"/>
      <c r="G36" s="341"/>
      <c r="H36" s="342"/>
    </row>
    <row r="37" spans="1:11">
      <c r="A37" s="38" t="s">
        <v>0</v>
      </c>
      <c r="B37" s="256" t="s">
        <v>58</v>
      </c>
      <c r="C37" s="256"/>
      <c r="D37" s="256"/>
      <c r="E37" s="39"/>
      <c r="F37" s="54"/>
      <c r="G37" s="55">
        <v>8.3299999999999999E-2</v>
      </c>
      <c r="H37" s="56">
        <f>SUM($H$33*G37)</f>
        <v>148.818782</v>
      </c>
    </row>
    <row r="38" spans="1:11">
      <c r="A38" s="38" t="s">
        <v>1</v>
      </c>
      <c r="B38" s="39" t="s">
        <v>59</v>
      </c>
      <c r="C38" s="39"/>
      <c r="D38" s="39"/>
      <c r="E38" s="39"/>
      <c r="F38" s="57"/>
      <c r="G38" s="58">
        <v>0.121</v>
      </c>
      <c r="H38" s="56">
        <f>SUM($H$33*G38)</f>
        <v>216.17133999999999</v>
      </c>
    </row>
    <row r="39" spans="1:11" ht="16.5" thickBot="1">
      <c r="A39" s="165"/>
      <c r="B39" s="206" t="s">
        <v>16</v>
      </c>
      <c r="C39" s="206"/>
      <c r="D39" s="103"/>
      <c r="E39" s="103"/>
      <c r="F39" s="207"/>
      <c r="G39" s="214">
        <f>G37+G38</f>
        <v>0.20429999999999998</v>
      </c>
      <c r="H39" s="208">
        <f>H37+H38</f>
        <v>364.99012199999999</v>
      </c>
      <c r="K39" s="163"/>
    </row>
    <row r="40" spans="1:11" ht="15">
      <c r="A40" s="343"/>
      <c r="B40" s="343"/>
      <c r="C40" s="343"/>
      <c r="D40" s="343"/>
      <c r="E40" s="343"/>
      <c r="F40" s="343"/>
      <c r="G40" s="343"/>
      <c r="H40" s="343"/>
    </row>
    <row r="41" spans="1:11" s="3" customFormat="1">
      <c r="A41" s="60" t="s">
        <v>8</v>
      </c>
      <c r="B41" s="321" t="s">
        <v>60</v>
      </c>
      <c r="C41" s="321"/>
      <c r="D41" s="321"/>
      <c r="E41" s="321"/>
      <c r="F41" s="321"/>
      <c r="G41" s="321"/>
      <c r="H41" s="322"/>
    </row>
    <row r="42" spans="1:11">
      <c r="A42" s="38" t="s">
        <v>0</v>
      </c>
      <c r="B42" s="42" t="s">
        <v>10</v>
      </c>
      <c r="C42" s="42"/>
      <c r="D42" s="39"/>
      <c r="E42" s="39"/>
      <c r="F42" s="54"/>
      <c r="G42" s="55">
        <v>0.2</v>
      </c>
      <c r="H42" s="56">
        <f>SUM($H$33+$H$39)*G42</f>
        <v>430.30602440000007</v>
      </c>
    </row>
    <row r="43" spans="1:11">
      <c r="A43" s="38" t="s">
        <v>1</v>
      </c>
      <c r="B43" s="42" t="s">
        <v>61</v>
      </c>
      <c r="C43" s="42"/>
      <c r="D43" s="61"/>
      <c r="E43" s="61"/>
      <c r="F43" s="54"/>
      <c r="G43" s="62">
        <v>2.5000000000000001E-2</v>
      </c>
      <c r="H43" s="56">
        <f>SUM($H$33+$H$39)*G43</f>
        <v>53.788253050000009</v>
      </c>
    </row>
    <row r="44" spans="1:11">
      <c r="A44" s="38" t="s">
        <v>2</v>
      </c>
      <c r="B44" s="42" t="s">
        <v>62</v>
      </c>
      <c r="C44" s="42"/>
      <c r="D44" s="61"/>
      <c r="E44" s="61"/>
      <c r="F44" s="54"/>
      <c r="G44" s="218">
        <f>1*3/100</f>
        <v>0.03</v>
      </c>
      <c r="H44" s="56">
        <f t="shared" ref="H44:H48" si="0">SUM($H$33+$H$39)*G44</f>
        <v>64.545903660000008</v>
      </c>
    </row>
    <row r="45" spans="1:11">
      <c r="A45" s="38" t="s">
        <v>3</v>
      </c>
      <c r="B45" s="42" t="s">
        <v>63</v>
      </c>
      <c r="C45" s="42"/>
      <c r="D45" s="39"/>
      <c r="E45" s="39"/>
      <c r="F45" s="54"/>
      <c r="G45" s="62">
        <v>1.4999999999999999E-2</v>
      </c>
      <c r="H45" s="56">
        <f t="shared" si="0"/>
        <v>32.272951830000004</v>
      </c>
    </row>
    <row r="46" spans="1:11">
      <c r="A46" s="38" t="s">
        <v>4</v>
      </c>
      <c r="B46" s="42" t="s">
        <v>64</v>
      </c>
      <c r="C46" s="42"/>
      <c r="D46" s="39"/>
      <c r="E46" s="39"/>
      <c r="F46" s="54"/>
      <c r="G46" s="62">
        <v>0.01</v>
      </c>
      <c r="H46" s="56">
        <f t="shared" si="0"/>
        <v>21.515301220000001</v>
      </c>
    </row>
    <row r="47" spans="1:11">
      <c r="A47" s="38" t="s">
        <v>5</v>
      </c>
      <c r="B47" s="42" t="s">
        <v>11</v>
      </c>
      <c r="C47" s="42"/>
      <c r="D47" s="39"/>
      <c r="E47" s="39"/>
      <c r="F47" s="54"/>
      <c r="G47" s="63">
        <v>6.0000000000000001E-3</v>
      </c>
      <c r="H47" s="56">
        <f t="shared" si="0"/>
        <v>12.909180732000001</v>
      </c>
    </row>
    <row r="48" spans="1:11">
      <c r="A48" s="38" t="s">
        <v>12</v>
      </c>
      <c r="B48" s="42" t="s">
        <v>13</v>
      </c>
      <c r="C48" s="42"/>
      <c r="D48" s="64"/>
      <c r="E48" s="64"/>
      <c r="F48" s="64"/>
      <c r="G48" s="62">
        <v>2E-3</v>
      </c>
      <c r="H48" s="56">
        <f t="shared" si="0"/>
        <v>4.3030602440000001</v>
      </c>
    </row>
    <row r="49" spans="1:9">
      <c r="A49" s="38" t="s">
        <v>5</v>
      </c>
      <c r="B49" s="42" t="s">
        <v>14</v>
      </c>
      <c r="C49" s="42"/>
      <c r="D49" s="39"/>
      <c r="E49" s="39"/>
      <c r="F49" s="54"/>
      <c r="G49" s="62">
        <v>0.08</v>
      </c>
      <c r="H49" s="56">
        <f>SUM($H$33+$H$39)*G49</f>
        <v>172.12240976000001</v>
      </c>
    </row>
    <row r="50" spans="1:9">
      <c r="A50" s="119"/>
      <c r="B50" s="120" t="s">
        <v>16</v>
      </c>
      <c r="C50" s="120"/>
      <c r="D50" s="209"/>
      <c r="E50" s="209"/>
      <c r="F50" s="210"/>
      <c r="G50" s="123">
        <f>SUM(G42:G49)</f>
        <v>0.36800000000000005</v>
      </c>
      <c r="H50" s="124">
        <f>SUM(H42:H49)</f>
        <v>791.76308489600001</v>
      </c>
    </row>
    <row r="51" spans="1:9" ht="15">
      <c r="A51" s="319" t="s">
        <v>65</v>
      </c>
      <c r="B51" s="319"/>
      <c r="C51" s="319"/>
      <c r="D51" s="319"/>
      <c r="E51" s="319"/>
      <c r="F51" s="319"/>
      <c r="G51" s="319"/>
      <c r="H51" s="319"/>
    </row>
    <row r="52" spans="1:9" ht="15">
      <c r="A52" s="319" t="s">
        <v>66</v>
      </c>
      <c r="B52" s="319"/>
      <c r="C52" s="319"/>
      <c r="D52" s="319"/>
      <c r="E52" s="319"/>
      <c r="F52" s="319"/>
      <c r="G52" s="319"/>
      <c r="H52" s="319"/>
    </row>
    <row r="53" spans="1:9" ht="15">
      <c r="A53" s="319" t="s">
        <v>67</v>
      </c>
      <c r="B53" s="319"/>
      <c r="C53" s="319"/>
      <c r="D53" s="319"/>
      <c r="E53" s="319"/>
      <c r="F53" s="319"/>
      <c r="G53" s="319"/>
      <c r="H53" s="319"/>
    </row>
    <row r="54" spans="1:9" s="3" customFormat="1">
      <c r="A54" s="60" t="s">
        <v>15</v>
      </c>
      <c r="B54" s="321" t="s">
        <v>68</v>
      </c>
      <c r="C54" s="321"/>
      <c r="D54" s="321"/>
      <c r="E54" s="321"/>
      <c r="F54" s="321"/>
      <c r="G54" s="321"/>
      <c r="H54" s="322"/>
    </row>
    <row r="55" spans="1:9">
      <c r="A55" s="38"/>
      <c r="B55" s="65"/>
      <c r="C55" s="66"/>
      <c r="D55" s="211" t="s">
        <v>69</v>
      </c>
      <c r="E55" s="212" t="s">
        <v>70</v>
      </c>
      <c r="F55" s="212" t="s">
        <v>71</v>
      </c>
      <c r="G55" s="212" t="s">
        <v>72</v>
      </c>
      <c r="H55" s="67"/>
    </row>
    <row r="56" spans="1:9">
      <c r="A56" s="327" t="s">
        <v>0</v>
      </c>
      <c r="B56" s="68" t="s">
        <v>73</v>
      </c>
      <c r="C56" s="69"/>
      <c r="D56" s="330">
        <v>22</v>
      </c>
      <c r="E56" s="331">
        <v>2</v>
      </c>
      <c r="F56" s="333">
        <v>4.5</v>
      </c>
      <c r="G56" s="334">
        <v>0.06</v>
      </c>
      <c r="H56" s="51">
        <f>F56*E56*D56</f>
        <v>198</v>
      </c>
    </row>
    <row r="57" spans="1:9">
      <c r="A57" s="328"/>
      <c r="B57" s="70" t="s">
        <v>74</v>
      </c>
      <c r="C57" s="69"/>
      <c r="D57" s="330"/>
      <c r="E57" s="332"/>
      <c r="F57" s="332"/>
      <c r="G57" s="332"/>
      <c r="H57" s="51">
        <f>H26*G56</f>
        <v>88.899600000000007</v>
      </c>
    </row>
    <row r="58" spans="1:9">
      <c r="A58" s="329"/>
      <c r="B58" s="71" t="s">
        <v>75</v>
      </c>
      <c r="C58" s="257"/>
      <c r="D58" s="267"/>
      <c r="E58" s="73"/>
      <c r="F58" s="73"/>
      <c r="G58" s="74"/>
      <c r="H58" s="75">
        <f>H56-H57</f>
        <v>109.10039999999999</v>
      </c>
    </row>
    <row r="59" spans="1:9">
      <c r="A59" s="327" t="s">
        <v>1</v>
      </c>
      <c r="B59" s="68" t="s">
        <v>230</v>
      </c>
      <c r="C59" s="69"/>
      <c r="D59" s="330">
        <v>1</v>
      </c>
      <c r="E59" s="331">
        <v>1</v>
      </c>
      <c r="F59" s="333">
        <v>414</v>
      </c>
      <c r="G59" s="334">
        <v>0.2</v>
      </c>
      <c r="H59" s="51">
        <f>F59*E59*D59</f>
        <v>414</v>
      </c>
    </row>
    <row r="60" spans="1:9">
      <c r="A60" s="328"/>
      <c r="B60" s="70" t="s">
        <v>74</v>
      </c>
      <c r="C60" s="69"/>
      <c r="D60" s="330"/>
      <c r="E60" s="332"/>
      <c r="F60" s="332"/>
      <c r="G60" s="332"/>
      <c r="H60" s="51">
        <f>H59*G59</f>
        <v>82.800000000000011</v>
      </c>
    </row>
    <row r="61" spans="1:9">
      <c r="A61" s="329"/>
      <c r="B61" s="76" t="s">
        <v>75</v>
      </c>
      <c r="C61" s="77"/>
      <c r="D61" s="77"/>
      <c r="E61" s="77"/>
      <c r="F61" s="78"/>
      <c r="G61" s="78"/>
      <c r="H61" s="75">
        <f>H59-H60</f>
        <v>331.2</v>
      </c>
    </row>
    <row r="62" spans="1:9">
      <c r="A62" s="258" t="s">
        <v>2</v>
      </c>
      <c r="B62" s="340" t="s">
        <v>231</v>
      </c>
      <c r="C62" s="340"/>
      <c r="D62" s="340"/>
      <c r="E62" s="340"/>
      <c r="F62" s="78"/>
      <c r="G62" s="79"/>
      <c r="H62" s="219">
        <v>62.5</v>
      </c>
    </row>
    <row r="63" spans="1:9" ht="15">
      <c r="A63" s="258" t="s">
        <v>3</v>
      </c>
      <c r="B63" s="324" t="s">
        <v>232</v>
      </c>
      <c r="C63" s="324"/>
      <c r="D63" s="324"/>
      <c r="E63" s="324"/>
      <c r="F63" s="80"/>
      <c r="G63" s="81"/>
      <c r="H63" s="268">
        <v>20.5</v>
      </c>
      <c r="I63" s="127"/>
    </row>
    <row r="64" spans="1:9">
      <c r="A64" s="258" t="s">
        <v>4</v>
      </c>
      <c r="B64" s="324" t="s">
        <v>233</v>
      </c>
      <c r="C64" s="324"/>
      <c r="D64" s="324"/>
      <c r="E64" s="324"/>
      <c r="F64" s="80"/>
      <c r="G64" s="81"/>
      <c r="H64" s="219">
        <v>20.5</v>
      </c>
    </row>
    <row r="65" spans="1:8">
      <c r="A65" s="258" t="s">
        <v>5</v>
      </c>
      <c r="B65" s="324" t="s">
        <v>234</v>
      </c>
      <c r="C65" s="324"/>
      <c r="D65" s="324"/>
      <c r="E65" s="324"/>
      <c r="F65" s="80"/>
      <c r="G65" s="81"/>
      <c r="H65" s="219">
        <f>H61/12</f>
        <v>27.599999999999998</v>
      </c>
    </row>
    <row r="66" spans="1:8">
      <c r="A66" s="258" t="s">
        <v>12</v>
      </c>
      <c r="B66" s="324" t="s">
        <v>235</v>
      </c>
      <c r="C66" s="324"/>
      <c r="D66" s="324"/>
      <c r="E66" s="324"/>
      <c r="F66" s="80"/>
      <c r="G66" s="81"/>
      <c r="H66" s="219">
        <f>((137.87*6)/12)*0.005</f>
        <v>0.34467500000000001</v>
      </c>
    </row>
    <row r="67" spans="1:8" ht="16.5" thickBot="1">
      <c r="A67" s="82"/>
      <c r="B67" s="323" t="s">
        <v>16</v>
      </c>
      <c r="C67" s="323"/>
      <c r="D67" s="323"/>
      <c r="E67" s="323"/>
      <c r="F67" s="83"/>
      <c r="G67" s="83"/>
      <c r="H67" s="84">
        <f>H58+H61+H62+H63+H64+H65+H66</f>
        <v>571.74507500000004</v>
      </c>
    </row>
    <row r="68" spans="1:8" ht="15.75" customHeight="1">
      <c r="A68" s="319" t="s">
        <v>76</v>
      </c>
      <c r="B68" s="319"/>
      <c r="C68" s="319"/>
      <c r="D68" s="319"/>
      <c r="E68" s="319"/>
      <c r="F68" s="319"/>
      <c r="G68" s="319"/>
      <c r="H68" s="319"/>
    </row>
    <row r="69" spans="1:8" ht="15">
      <c r="A69" s="319" t="s">
        <v>77</v>
      </c>
      <c r="B69" s="319"/>
      <c r="C69" s="319"/>
      <c r="D69" s="319"/>
      <c r="E69" s="319"/>
      <c r="F69" s="319"/>
      <c r="G69" s="319"/>
      <c r="H69" s="319"/>
    </row>
    <row r="70" spans="1:8" s="3" customFormat="1" ht="18">
      <c r="A70" s="314" t="s">
        <v>78</v>
      </c>
      <c r="B70" s="315"/>
      <c r="C70" s="315"/>
      <c r="D70" s="315"/>
      <c r="E70" s="315"/>
      <c r="F70" s="315"/>
      <c r="G70" s="315"/>
      <c r="H70" s="316"/>
    </row>
    <row r="71" spans="1:8">
      <c r="A71" s="85" t="s">
        <v>7</v>
      </c>
      <c r="B71" s="86" t="s">
        <v>79</v>
      </c>
      <c r="C71" s="86"/>
      <c r="D71" s="87"/>
      <c r="E71" s="87"/>
      <c r="F71" s="88"/>
      <c r="G71" s="88"/>
      <c r="H71" s="89">
        <f>H39</f>
        <v>364.99012199999999</v>
      </c>
    </row>
    <row r="72" spans="1:8">
      <c r="A72" s="85" t="s">
        <v>8</v>
      </c>
      <c r="B72" s="86" t="s">
        <v>9</v>
      </c>
      <c r="C72" s="86"/>
      <c r="D72" s="87"/>
      <c r="E72" s="87"/>
      <c r="F72" s="88"/>
      <c r="G72" s="88"/>
      <c r="H72" s="89">
        <f>H50</f>
        <v>791.76308489600001</v>
      </c>
    </row>
    <row r="73" spans="1:8">
      <c r="A73" s="85" t="s">
        <v>15</v>
      </c>
      <c r="B73" s="86" t="s">
        <v>80</v>
      </c>
      <c r="C73" s="86"/>
      <c r="D73" s="87"/>
      <c r="E73" s="87"/>
      <c r="F73" s="88"/>
      <c r="G73" s="88"/>
      <c r="H73" s="89">
        <f>H67</f>
        <v>571.74507500000004</v>
      </c>
    </row>
    <row r="74" spans="1:8" ht="16.5" thickBot="1">
      <c r="A74" s="90"/>
      <c r="B74" s="91" t="s">
        <v>16</v>
      </c>
      <c r="C74" s="91"/>
      <c r="D74" s="91"/>
      <c r="E74" s="91"/>
      <c r="F74" s="92"/>
      <c r="G74" s="92"/>
      <c r="H74" s="93">
        <f>SUM(H71:H73)</f>
        <v>1728.498281896</v>
      </c>
    </row>
    <row r="75" spans="1:8" ht="16.5" thickBot="1">
      <c r="A75" s="94"/>
      <c r="B75" s="95"/>
      <c r="C75" s="95"/>
      <c r="D75" s="95"/>
      <c r="E75" s="95"/>
      <c r="F75" s="78"/>
      <c r="G75" s="78"/>
      <c r="H75" s="96"/>
    </row>
    <row r="76" spans="1:8" s="3" customFormat="1" ht="23.25">
      <c r="A76" s="36">
        <v>3</v>
      </c>
      <c r="B76" s="317" t="s">
        <v>81</v>
      </c>
      <c r="C76" s="317"/>
      <c r="D76" s="317"/>
      <c r="E76" s="317"/>
      <c r="F76" s="317"/>
      <c r="G76" s="317"/>
      <c r="H76" s="318"/>
    </row>
    <row r="77" spans="1:8">
      <c r="A77" s="38" t="s">
        <v>0</v>
      </c>
      <c r="B77" s="39" t="s">
        <v>82</v>
      </c>
      <c r="C77" s="39"/>
      <c r="D77" s="97"/>
      <c r="E77" s="97"/>
      <c r="F77" s="97"/>
      <c r="G77" s="55">
        <v>4.1999999999999997E-3</v>
      </c>
      <c r="H77" s="56">
        <f>(($H$33+$H$97)*G77)</f>
        <v>7.5034679999999998</v>
      </c>
    </row>
    <row r="78" spans="1:8">
      <c r="A78" s="38" t="s">
        <v>1</v>
      </c>
      <c r="B78" s="39" t="s">
        <v>83</v>
      </c>
      <c r="C78" s="39"/>
      <c r="D78" s="39"/>
      <c r="E78" s="39"/>
      <c r="F78" s="54"/>
      <c r="G78" s="55">
        <f>G77*G49</f>
        <v>3.3599999999999998E-4</v>
      </c>
      <c r="H78" s="56">
        <f>(($H$33+$H$97)*G78)</f>
        <v>0.60027743999999994</v>
      </c>
    </row>
    <row r="79" spans="1:8">
      <c r="A79" s="38" t="s">
        <v>2</v>
      </c>
      <c r="B79" s="39" t="s">
        <v>85</v>
      </c>
      <c r="C79" s="39"/>
      <c r="D79" s="97"/>
      <c r="E79" s="97"/>
      <c r="F79" s="97"/>
      <c r="G79" s="63">
        <v>1.9400000000000001E-2</v>
      </c>
      <c r="H79" s="56">
        <f t="shared" ref="H79:H81" si="1">(($H$33+$H$97)*G79)</f>
        <v>34.658875999999999</v>
      </c>
    </row>
    <row r="80" spans="1:8">
      <c r="A80" s="99" t="s">
        <v>3</v>
      </c>
      <c r="B80" s="100" t="s">
        <v>86</v>
      </c>
      <c r="C80" s="39"/>
      <c r="D80" s="39"/>
      <c r="E80" s="39"/>
      <c r="F80" s="54"/>
      <c r="G80" s="269">
        <f>G79*G50</f>
        <v>7.1392000000000009E-3</v>
      </c>
      <c r="H80" s="56">
        <f t="shared" si="1"/>
        <v>12.754466368000001</v>
      </c>
    </row>
    <row r="81" spans="1:8" ht="33" customHeight="1">
      <c r="A81" s="38" t="s">
        <v>4</v>
      </c>
      <c r="B81" s="270" t="s">
        <v>236</v>
      </c>
      <c r="C81" s="337" t="s">
        <v>84</v>
      </c>
      <c r="D81" s="337"/>
      <c r="E81" s="98"/>
      <c r="F81" s="98"/>
      <c r="G81" s="215">
        <f>(0.4*0.083)*((1+0.08333+0.0909+(0.0909/3)))</f>
        <v>3.9990395999999998E-2</v>
      </c>
      <c r="H81" s="56">
        <f t="shared" si="1"/>
        <v>71.444442069839994</v>
      </c>
    </row>
    <row r="82" spans="1:8" ht="16.5" thickBot="1">
      <c r="A82" s="101"/>
      <c r="B82" s="102" t="s">
        <v>16</v>
      </c>
      <c r="C82" s="102"/>
      <c r="D82" s="103"/>
      <c r="E82" s="103"/>
      <c r="F82" s="104"/>
      <c r="G82" s="105">
        <f>SUM(G77:G81)</f>
        <v>7.1065595999999995E-2</v>
      </c>
      <c r="H82" s="106">
        <f>SUM(H77:H81)</f>
        <v>126.96152987783999</v>
      </c>
    </row>
    <row r="83" spans="1:8" ht="16.5" thickBot="1">
      <c r="A83" s="107"/>
      <c r="B83" s="108"/>
      <c r="C83" s="108"/>
      <c r="D83" s="73"/>
      <c r="E83" s="73"/>
      <c r="F83" s="109"/>
      <c r="G83" s="110"/>
      <c r="H83" s="111"/>
    </row>
    <row r="84" spans="1:8" s="3" customFormat="1" ht="23.25">
      <c r="A84" s="36">
        <v>4</v>
      </c>
      <c r="B84" s="338" t="s">
        <v>87</v>
      </c>
      <c r="C84" s="338"/>
      <c r="D84" s="338"/>
      <c r="E84" s="338"/>
      <c r="F84" s="338"/>
      <c r="G84" s="338"/>
      <c r="H84" s="339"/>
    </row>
    <row r="85" spans="1:8" s="3" customFormat="1">
      <c r="A85" s="60" t="s">
        <v>17</v>
      </c>
      <c r="B85" s="321" t="s">
        <v>88</v>
      </c>
      <c r="C85" s="321"/>
      <c r="D85" s="321"/>
      <c r="E85" s="321"/>
      <c r="F85" s="321"/>
      <c r="G85" s="321"/>
      <c r="H85" s="322"/>
    </row>
    <row r="86" spans="1:8">
      <c r="A86" s="112" t="s">
        <v>0</v>
      </c>
      <c r="B86" s="42" t="s">
        <v>149</v>
      </c>
      <c r="C86" s="113"/>
      <c r="D86" s="117"/>
      <c r="E86" s="113"/>
      <c r="F86" s="118"/>
      <c r="G86" s="149">
        <f>((1+1/3)/11)/12</f>
        <v>1.01010101010101E-2</v>
      </c>
      <c r="H86" s="56">
        <f>SUM(H$33+H$74+H$82)*G86</f>
        <v>36.787876886604437</v>
      </c>
    </row>
    <row r="87" spans="1:8" ht="15" customHeight="1">
      <c r="A87" s="112" t="s">
        <v>1</v>
      </c>
      <c r="B87" s="42" t="s">
        <v>89</v>
      </c>
      <c r="C87" s="113"/>
      <c r="D87" s="114"/>
      <c r="E87" s="113"/>
      <c r="F87" s="115"/>
      <c r="G87" s="149">
        <f>(5.96/30)/12</f>
        <v>1.6555555555555556E-2</v>
      </c>
      <c r="H87" s="56">
        <f t="shared" ref="H87:H92" si="2">SUM(H$33+H$74+H$82)*G87</f>
        <v>60.295330217144681</v>
      </c>
    </row>
    <row r="88" spans="1:8">
      <c r="A88" s="112" t="s">
        <v>2</v>
      </c>
      <c r="B88" s="42" t="s">
        <v>90</v>
      </c>
      <c r="C88" s="113"/>
      <c r="D88" s="114"/>
      <c r="E88" s="113"/>
      <c r="F88" s="115"/>
      <c r="G88" s="149">
        <f>((5/30)/12)*0.05</f>
        <v>6.9444444444444447E-4</v>
      </c>
      <c r="H88" s="56">
        <f t="shared" si="2"/>
        <v>2.5291665359540554</v>
      </c>
    </row>
    <row r="89" spans="1:8">
      <c r="A89" s="112" t="s">
        <v>3</v>
      </c>
      <c r="B89" s="42" t="s">
        <v>91</v>
      </c>
      <c r="C89" s="113"/>
      <c r="D89" s="114"/>
      <c r="E89" s="113"/>
      <c r="F89" s="116"/>
      <c r="G89" s="149">
        <f>((15/30)/12)*0.2</f>
        <v>8.3333333333333332E-3</v>
      </c>
      <c r="H89" s="56">
        <f t="shared" si="2"/>
        <v>30.349998431448665</v>
      </c>
    </row>
    <row r="90" spans="1:8">
      <c r="A90" s="112" t="s">
        <v>4</v>
      </c>
      <c r="B90" s="42" t="s">
        <v>92</v>
      </c>
      <c r="C90" s="113"/>
      <c r="D90" s="114"/>
      <c r="E90" s="113"/>
      <c r="F90" s="115"/>
      <c r="G90" s="217">
        <f>((6/12)*11.11%)*0.1</f>
        <v>5.555E-3</v>
      </c>
      <c r="H90" s="56">
        <f t="shared" si="2"/>
        <v>20.23130895440368</v>
      </c>
    </row>
    <row r="91" spans="1:8">
      <c r="A91" s="112" t="s">
        <v>5</v>
      </c>
      <c r="B91" s="42" t="s">
        <v>146</v>
      </c>
      <c r="C91" s="113"/>
      <c r="D91" s="117"/>
      <c r="E91" s="113"/>
      <c r="F91" s="118"/>
      <c r="G91" s="149">
        <f>(5.96/30)/12</f>
        <v>1.6555555555555556E-2</v>
      </c>
      <c r="H91" s="56">
        <f t="shared" si="2"/>
        <v>60.295330217144681</v>
      </c>
    </row>
    <row r="92" spans="1:8">
      <c r="A92" s="112" t="s">
        <v>12</v>
      </c>
      <c r="B92" s="42" t="s">
        <v>6</v>
      </c>
      <c r="C92" s="113"/>
      <c r="D92" s="117"/>
      <c r="E92" s="113"/>
      <c r="F92" s="118"/>
      <c r="G92" s="149">
        <v>0</v>
      </c>
      <c r="H92" s="56">
        <f t="shared" si="2"/>
        <v>0</v>
      </c>
    </row>
    <row r="93" spans="1:8">
      <c r="A93" s="119"/>
      <c r="B93" s="120" t="s">
        <v>16</v>
      </c>
      <c r="C93" s="120"/>
      <c r="D93" s="121"/>
      <c r="E93" s="121"/>
      <c r="F93" s="122"/>
      <c r="G93" s="123">
        <f>SUM(G86:G92)</f>
        <v>5.7794898989898993E-2</v>
      </c>
      <c r="H93" s="124">
        <f>SUM(H86:H92)</f>
        <v>210.4890112427002</v>
      </c>
    </row>
    <row r="94" spans="1:8" ht="15">
      <c r="A94" s="325" t="s">
        <v>237</v>
      </c>
      <c r="B94" s="325"/>
      <c r="C94" s="325"/>
      <c r="D94" s="325"/>
      <c r="E94" s="325"/>
      <c r="F94" s="325"/>
      <c r="G94" s="325"/>
      <c r="H94" s="325"/>
    </row>
    <row r="95" spans="1:8" ht="15.75" customHeight="1">
      <c r="A95" s="326"/>
      <c r="B95" s="326"/>
      <c r="C95" s="326"/>
      <c r="D95" s="326"/>
      <c r="E95" s="326"/>
      <c r="F95" s="326"/>
      <c r="G95" s="326"/>
      <c r="H95" s="326"/>
    </row>
    <row r="96" spans="1:8" s="3" customFormat="1">
      <c r="A96" s="60" t="s">
        <v>18</v>
      </c>
      <c r="B96" s="321" t="s">
        <v>93</v>
      </c>
      <c r="C96" s="321"/>
      <c r="D96" s="321"/>
      <c r="E96" s="321"/>
      <c r="F96" s="321"/>
      <c r="G96" s="321"/>
      <c r="H96" s="322"/>
    </row>
    <row r="97" spans="1:13">
      <c r="A97" s="112" t="s">
        <v>0</v>
      </c>
      <c r="B97" s="42" t="s">
        <v>94</v>
      </c>
      <c r="C97" s="42"/>
      <c r="D97" s="64"/>
      <c r="E97" s="64"/>
      <c r="F97" s="125"/>
      <c r="G97" s="126">
        <f>H97/H33</f>
        <v>0</v>
      </c>
      <c r="H97" s="271">
        <v>0</v>
      </c>
      <c r="I97" s="127"/>
      <c r="K97" s="320"/>
      <c r="L97" s="320"/>
      <c r="M97" s="128"/>
    </row>
    <row r="98" spans="1:13">
      <c r="A98" s="119"/>
      <c r="B98" s="120" t="s">
        <v>16</v>
      </c>
      <c r="C98" s="120"/>
      <c r="D98" s="121"/>
      <c r="E98" s="121"/>
      <c r="F98" s="122"/>
      <c r="G98" s="123">
        <f>G97</f>
        <v>0</v>
      </c>
      <c r="H98" s="124">
        <f>H97</f>
        <v>0</v>
      </c>
    </row>
    <row r="99" spans="1:13" s="3" customFormat="1" ht="18">
      <c r="A99" s="314" t="s">
        <v>95</v>
      </c>
      <c r="B99" s="315"/>
      <c r="C99" s="315"/>
      <c r="D99" s="315"/>
      <c r="E99" s="315"/>
      <c r="F99" s="315"/>
      <c r="G99" s="315"/>
      <c r="H99" s="316"/>
      <c r="K99" s="216"/>
    </row>
    <row r="100" spans="1:13">
      <c r="A100" s="129" t="s">
        <v>17</v>
      </c>
      <c r="B100" s="130" t="s">
        <v>96</v>
      </c>
      <c r="C100" s="130"/>
      <c r="D100" s="131"/>
      <c r="E100" s="131"/>
      <c r="F100" s="131"/>
      <c r="G100" s="132">
        <f>G93</f>
        <v>5.7794898989898993E-2</v>
      </c>
      <c r="H100" s="133">
        <f>H93</f>
        <v>210.4890112427002</v>
      </c>
    </row>
    <row r="101" spans="1:13">
      <c r="A101" s="129" t="s">
        <v>18</v>
      </c>
      <c r="B101" s="130" t="s">
        <v>97</v>
      </c>
      <c r="C101" s="130"/>
      <c r="D101" s="131"/>
      <c r="E101" s="131"/>
      <c r="F101" s="131"/>
      <c r="G101" s="132"/>
      <c r="H101" s="133">
        <f>H98</f>
        <v>0</v>
      </c>
    </row>
    <row r="102" spans="1:13" ht="16.5" thickBot="1">
      <c r="A102" s="134"/>
      <c r="B102" s="135" t="s">
        <v>16</v>
      </c>
      <c r="C102" s="135"/>
      <c r="D102" s="136"/>
      <c r="E102" s="136"/>
      <c r="F102" s="137"/>
      <c r="G102" s="138"/>
      <c r="H102" s="139">
        <f>SUM(H100:H101)</f>
        <v>210.4890112427002</v>
      </c>
    </row>
    <row r="103" spans="1:13" ht="16.5" thickBot="1">
      <c r="A103" s="107"/>
      <c r="B103" s="108"/>
      <c r="C103" s="108"/>
      <c r="D103" s="73"/>
      <c r="E103" s="73"/>
      <c r="F103" s="109"/>
      <c r="G103" s="110"/>
      <c r="H103" s="111"/>
    </row>
    <row r="104" spans="1:13" s="3" customFormat="1" ht="23.25">
      <c r="A104" s="36">
        <v>5</v>
      </c>
      <c r="B104" s="317" t="s">
        <v>21</v>
      </c>
      <c r="C104" s="317"/>
      <c r="D104" s="317"/>
      <c r="E104" s="317"/>
      <c r="F104" s="317"/>
      <c r="G104" s="317"/>
      <c r="H104" s="318"/>
    </row>
    <row r="105" spans="1:13">
      <c r="A105" s="112" t="s">
        <v>0</v>
      </c>
      <c r="B105" s="80" t="s">
        <v>238</v>
      </c>
      <c r="C105" s="80"/>
      <c r="D105" s="140"/>
      <c r="E105" s="39"/>
      <c r="F105" s="141"/>
      <c r="G105" s="141"/>
      <c r="H105" s="141">
        <f>'UNIFORME VIGIA '!F14</f>
        <v>60.583333333333336</v>
      </c>
      <c r="I105" s="127"/>
    </row>
    <row r="106" spans="1:13">
      <c r="A106" s="112" t="s">
        <v>1</v>
      </c>
      <c r="B106" s="80" t="s">
        <v>98</v>
      </c>
      <c r="C106" s="80"/>
      <c r="D106" s="140"/>
      <c r="E106" s="39"/>
      <c r="F106" s="141"/>
      <c r="G106" s="141"/>
      <c r="H106" s="141">
        <f>'EQUIPAMENTOS VIGIA'!F20</f>
        <v>36.823611111111113</v>
      </c>
      <c r="I106" s="127"/>
    </row>
    <row r="107" spans="1:13">
      <c r="A107" s="112" t="s">
        <v>2</v>
      </c>
      <c r="B107" s="80" t="s">
        <v>239</v>
      </c>
      <c r="C107" s="80"/>
      <c r="D107" s="140"/>
      <c r="E107" s="39"/>
      <c r="F107" s="141"/>
      <c r="G107" s="141"/>
      <c r="H107" s="141"/>
      <c r="I107" s="127"/>
    </row>
    <row r="108" spans="1:13">
      <c r="A108" s="112" t="s">
        <v>3</v>
      </c>
      <c r="B108" s="80" t="s">
        <v>6</v>
      </c>
      <c r="C108" s="80"/>
      <c r="D108" s="140"/>
      <c r="E108" s="39"/>
      <c r="F108" s="141"/>
      <c r="G108" s="141"/>
      <c r="H108" s="142"/>
    </row>
    <row r="109" spans="1:13" ht="16.5" thickBot="1">
      <c r="A109" s="101"/>
      <c r="B109" s="102" t="s">
        <v>16</v>
      </c>
      <c r="C109" s="102"/>
      <c r="D109" s="103"/>
      <c r="E109" s="103"/>
      <c r="F109" s="104"/>
      <c r="G109" s="105"/>
      <c r="H109" s="106">
        <f>SUM(H105:H108)</f>
        <v>97.406944444444449</v>
      </c>
    </row>
    <row r="110" spans="1:13" thickBot="1">
      <c r="A110" s="319" t="s">
        <v>99</v>
      </c>
      <c r="B110" s="319"/>
      <c r="C110" s="319"/>
      <c r="D110" s="319"/>
      <c r="E110" s="319"/>
      <c r="F110" s="319"/>
      <c r="G110" s="319"/>
      <c r="H110" s="319"/>
    </row>
    <row r="111" spans="1:13" s="3" customFormat="1" ht="23.25">
      <c r="A111" s="36">
        <v>6</v>
      </c>
      <c r="B111" s="317" t="s">
        <v>100</v>
      </c>
      <c r="C111" s="317"/>
      <c r="D111" s="317"/>
      <c r="E111" s="317"/>
      <c r="F111" s="317"/>
      <c r="G111" s="317"/>
      <c r="H111" s="318"/>
    </row>
    <row r="112" spans="1:13">
      <c r="A112" s="143" t="s">
        <v>0</v>
      </c>
      <c r="B112" s="39" t="s">
        <v>19</v>
      </c>
      <c r="C112" s="39"/>
      <c r="D112" s="39"/>
      <c r="E112" s="39"/>
      <c r="F112" s="144" t="s">
        <v>19</v>
      </c>
      <c r="G112" s="145">
        <v>0.14000000000000001</v>
      </c>
      <c r="H112" s="56">
        <f>G112*H129</f>
        <v>552.98540744453783</v>
      </c>
      <c r="I112" s="146"/>
    </row>
    <row r="113" spans="1:9">
      <c r="A113" s="143" t="s">
        <v>1</v>
      </c>
      <c r="B113" s="39" t="s">
        <v>101</v>
      </c>
      <c r="C113" s="39"/>
      <c r="D113" s="39"/>
      <c r="E113" s="39"/>
      <c r="F113" s="72" t="s">
        <v>101</v>
      </c>
      <c r="G113" s="145">
        <v>0.1</v>
      </c>
      <c r="H113" s="56">
        <f>SUM(H112+H129)*$G$113</f>
        <v>450.28811749055222</v>
      </c>
    </row>
    <row r="114" spans="1:9">
      <c r="A114" s="143" t="s">
        <v>2</v>
      </c>
      <c r="B114" s="39" t="s">
        <v>20</v>
      </c>
      <c r="C114" s="39"/>
      <c r="D114" s="39"/>
      <c r="E114" s="39"/>
      <c r="F114" s="147"/>
      <c r="G114" s="147"/>
      <c r="H114" s="56"/>
    </row>
    <row r="115" spans="1:9">
      <c r="A115" s="143" t="s">
        <v>102</v>
      </c>
      <c r="B115" s="148" t="s">
        <v>103</v>
      </c>
      <c r="C115" s="39"/>
      <c r="D115" s="39"/>
      <c r="E115" s="39"/>
      <c r="F115" s="72" t="s">
        <v>104</v>
      </c>
      <c r="G115" s="145">
        <v>1.6500000000000001E-2</v>
      </c>
      <c r="H115" s="56">
        <f>$H$131*G115</f>
        <v>92.608830962646152</v>
      </c>
    </row>
    <row r="116" spans="1:9">
      <c r="A116" s="143" t="s">
        <v>105</v>
      </c>
      <c r="B116" s="148" t="s">
        <v>103</v>
      </c>
      <c r="C116" s="39"/>
      <c r="D116" s="39"/>
      <c r="E116" s="39"/>
      <c r="F116" s="72" t="s">
        <v>106</v>
      </c>
      <c r="G116" s="145">
        <v>7.5999999999999998E-2</v>
      </c>
      <c r="H116" s="56">
        <f>$H$131*G116</f>
        <v>426.56188807037012</v>
      </c>
      <c r="I116" s="146"/>
    </row>
    <row r="117" spans="1:9">
      <c r="A117" s="143" t="s">
        <v>107</v>
      </c>
      <c r="B117" s="59"/>
      <c r="C117" s="39"/>
      <c r="D117" s="39"/>
      <c r="E117" s="39"/>
      <c r="F117" s="69"/>
      <c r="G117" s="69"/>
      <c r="H117" s="67"/>
    </row>
    <row r="118" spans="1:9">
      <c r="A118" s="143" t="s">
        <v>108</v>
      </c>
      <c r="B118" s="148" t="s">
        <v>109</v>
      </c>
      <c r="C118" s="39"/>
      <c r="D118" s="39"/>
      <c r="E118" s="39"/>
      <c r="F118" s="72" t="s">
        <v>110</v>
      </c>
      <c r="G118" s="149">
        <v>2.5000000000000001E-2</v>
      </c>
      <c r="H118" s="56">
        <f>$H$131*G118</f>
        <v>140.31641054946385</v>
      </c>
    </row>
    <row r="119" spans="1:9">
      <c r="A119" s="143" t="s">
        <v>111</v>
      </c>
      <c r="B119" s="39"/>
      <c r="C119" s="39"/>
      <c r="D119" s="39"/>
      <c r="E119" s="39"/>
      <c r="F119" s="150" t="s">
        <v>112</v>
      </c>
      <c r="G119" s="151">
        <f>SUM(G115:G118)</f>
        <v>0.11749999999999999</v>
      </c>
      <c r="H119" s="67"/>
    </row>
    <row r="120" spans="1:9" ht="16.5" thickBot="1">
      <c r="A120" s="101"/>
      <c r="B120" s="102" t="s">
        <v>113</v>
      </c>
      <c r="C120" s="102"/>
      <c r="D120" s="103"/>
      <c r="E120" s="103"/>
      <c r="F120" s="104"/>
      <c r="G120" s="105">
        <f>G112+G113+G119</f>
        <v>0.35750000000000004</v>
      </c>
      <c r="H120" s="106">
        <f>SUM(H112:H118)</f>
        <v>1662.7606545175702</v>
      </c>
    </row>
    <row r="121" spans="1:9" ht="15">
      <c r="A121" s="319" t="s">
        <v>114</v>
      </c>
      <c r="B121" s="319"/>
      <c r="C121" s="319"/>
      <c r="D121" s="319"/>
      <c r="E121" s="319"/>
      <c r="F121" s="319"/>
      <c r="G121" s="319"/>
      <c r="H121" s="319"/>
      <c r="I121" s="152"/>
    </row>
    <row r="122" spans="1:9" thickBot="1">
      <c r="A122" s="319" t="s">
        <v>115</v>
      </c>
      <c r="B122" s="319"/>
      <c r="C122" s="319"/>
      <c r="D122" s="319"/>
      <c r="E122" s="319"/>
      <c r="F122" s="319"/>
      <c r="G122" s="319"/>
      <c r="H122" s="319"/>
    </row>
    <row r="123" spans="1:9" s="3" customFormat="1">
      <c r="A123" s="153"/>
      <c r="B123" s="335" t="s">
        <v>116</v>
      </c>
      <c r="C123" s="335"/>
      <c r="D123" s="335"/>
      <c r="E123" s="335"/>
      <c r="F123" s="335"/>
      <c r="G123" s="335"/>
      <c r="H123" s="336"/>
    </row>
    <row r="124" spans="1:9">
      <c r="A124" s="154" t="s">
        <v>0</v>
      </c>
      <c r="B124" s="155" t="s">
        <v>117</v>
      </c>
      <c r="C124" s="155"/>
      <c r="D124" s="155"/>
      <c r="E124" s="155"/>
      <c r="F124" s="156"/>
      <c r="G124" s="157"/>
      <c r="H124" s="158">
        <f>SUM(H33)</f>
        <v>1786.54</v>
      </c>
    </row>
    <row r="125" spans="1:9">
      <c r="A125" s="154" t="s">
        <v>1</v>
      </c>
      <c r="B125" s="155" t="s">
        <v>118</v>
      </c>
      <c r="C125" s="155"/>
      <c r="D125" s="155"/>
      <c r="E125" s="155"/>
      <c r="F125" s="156"/>
      <c r="G125" s="157"/>
      <c r="H125" s="158">
        <f>H74</f>
        <v>1728.498281896</v>
      </c>
    </row>
    <row r="126" spans="1:9">
      <c r="A126" s="154" t="s">
        <v>2</v>
      </c>
      <c r="B126" s="155" t="s">
        <v>119</v>
      </c>
      <c r="C126" s="155"/>
      <c r="D126" s="155"/>
      <c r="E126" s="155"/>
      <c r="F126" s="156"/>
      <c r="G126" s="157"/>
      <c r="H126" s="158">
        <f>H82</f>
        <v>126.96152987783999</v>
      </c>
    </row>
    <row r="127" spans="1:9">
      <c r="A127" s="154" t="s">
        <v>3</v>
      </c>
      <c r="B127" s="155" t="s">
        <v>120</v>
      </c>
      <c r="C127" s="155"/>
      <c r="D127" s="155"/>
      <c r="E127" s="155"/>
      <c r="F127" s="156"/>
      <c r="G127" s="157"/>
      <c r="H127" s="158">
        <f>H102</f>
        <v>210.4890112427002</v>
      </c>
    </row>
    <row r="128" spans="1:9">
      <c r="A128" s="154" t="s">
        <v>4</v>
      </c>
      <c r="B128" s="155" t="s">
        <v>21</v>
      </c>
      <c r="C128" s="155"/>
      <c r="D128" s="155"/>
      <c r="E128" s="155"/>
      <c r="F128" s="156"/>
      <c r="G128" s="157"/>
      <c r="H128" s="158">
        <f>H109</f>
        <v>97.406944444444449</v>
      </c>
    </row>
    <row r="129" spans="1:11">
      <c r="A129" s="154"/>
      <c r="B129" s="159" t="s">
        <v>121</v>
      </c>
      <c r="C129" s="159"/>
      <c r="D129" s="159"/>
      <c r="E129" s="159"/>
      <c r="F129" s="160"/>
      <c r="G129" s="161"/>
      <c r="H129" s="162">
        <f>SUM(H124:H128)</f>
        <v>3949.8957674609842</v>
      </c>
      <c r="I129" s="163"/>
      <c r="K129" s="163"/>
    </row>
    <row r="130" spans="1:11">
      <c r="A130" s="154" t="s">
        <v>4</v>
      </c>
      <c r="B130" s="155" t="s">
        <v>122</v>
      </c>
      <c r="C130" s="155"/>
      <c r="D130" s="155"/>
      <c r="E130" s="155"/>
      <c r="F130" s="156"/>
      <c r="G130" s="164"/>
      <c r="H130" s="158">
        <f>H120</f>
        <v>1662.7606545175702</v>
      </c>
      <c r="K130" s="1"/>
    </row>
    <row r="131" spans="1:11" ht="16.5" thickBot="1">
      <c r="A131" s="165"/>
      <c r="B131" s="102" t="s">
        <v>123</v>
      </c>
      <c r="C131" s="102"/>
      <c r="D131" s="102"/>
      <c r="E131" s="102"/>
      <c r="F131" s="102"/>
      <c r="G131" s="166"/>
      <c r="H131" s="167">
        <f>(H129+H112+H113)/(1-G119)</f>
        <v>5612.6564219785541</v>
      </c>
      <c r="K131" s="2"/>
    </row>
    <row r="132" spans="1:11" ht="16.5" thickBot="1">
      <c r="A132" s="168"/>
      <c r="B132" s="108"/>
      <c r="C132" s="108"/>
      <c r="D132" s="108"/>
      <c r="E132" s="108"/>
      <c r="F132" s="108"/>
      <c r="G132" s="169"/>
      <c r="H132" s="170"/>
      <c r="K132" s="2"/>
    </row>
    <row r="133" spans="1:11" s="3" customFormat="1">
      <c r="A133" s="153"/>
      <c r="B133" s="335" t="s">
        <v>124</v>
      </c>
      <c r="C133" s="335"/>
      <c r="D133" s="335"/>
      <c r="E133" s="335"/>
      <c r="F133" s="335"/>
      <c r="G133" s="335"/>
      <c r="H133" s="336"/>
    </row>
    <row r="134" spans="1:11" ht="54.75" customHeight="1">
      <c r="A134" s="171"/>
      <c r="B134" s="172" t="s">
        <v>37</v>
      </c>
      <c r="C134" s="172"/>
      <c r="D134" s="173" t="s">
        <v>125</v>
      </c>
      <c r="E134" s="173" t="s">
        <v>126</v>
      </c>
      <c r="F134" s="174" t="s">
        <v>127</v>
      </c>
      <c r="G134" s="173" t="s">
        <v>128</v>
      </c>
      <c r="H134" s="175" t="s">
        <v>129</v>
      </c>
    </row>
    <row r="135" spans="1:11" ht="16.5" thickBot="1">
      <c r="A135" s="171"/>
      <c r="B135" s="176" t="s">
        <v>130</v>
      </c>
      <c r="C135" s="176"/>
      <c r="D135" s="176" t="s">
        <v>131</v>
      </c>
      <c r="E135" s="177" t="s">
        <v>132</v>
      </c>
      <c r="F135" s="178" t="s">
        <v>133</v>
      </c>
      <c r="G135" s="176" t="s">
        <v>134</v>
      </c>
      <c r="H135" s="179" t="s">
        <v>135</v>
      </c>
    </row>
    <row r="136" spans="1:11" ht="16.5" thickBot="1">
      <c r="A136" s="180"/>
      <c r="B136" s="181"/>
      <c r="C136" s="181"/>
      <c r="D136" s="182">
        <f>SUM(H131)</f>
        <v>5612.6564219785541</v>
      </c>
      <c r="E136" s="183">
        <v>1</v>
      </c>
      <c r="F136" s="182">
        <f>D136*E136</f>
        <v>5612.6564219785541</v>
      </c>
      <c r="G136" s="220">
        <f>E14</f>
        <v>1</v>
      </c>
      <c r="H136" s="213">
        <f>G136*F136</f>
        <v>5612.6564219785541</v>
      </c>
    </row>
    <row r="137" spans="1:11" ht="16.5" thickBot="1">
      <c r="A137" s="184"/>
      <c r="B137" s="185" t="s">
        <v>136</v>
      </c>
      <c r="C137" s="185"/>
      <c r="D137" s="186"/>
      <c r="E137" s="186"/>
      <c r="F137" s="186"/>
      <c r="G137" s="186"/>
      <c r="H137" s="187">
        <f>SUM(H136)</f>
        <v>5612.6564219785541</v>
      </c>
    </row>
    <row r="138" spans="1:11" ht="16.5" thickBot="1">
      <c r="A138" s="188"/>
      <c r="B138" s="189"/>
      <c r="C138" s="189"/>
      <c r="D138" s="190"/>
      <c r="E138" s="189"/>
      <c r="F138" s="189"/>
      <c r="G138" s="189"/>
      <c r="H138" s="189"/>
    </row>
    <row r="139" spans="1:11" s="3" customFormat="1">
      <c r="A139" s="153"/>
      <c r="B139" s="335" t="s">
        <v>137</v>
      </c>
      <c r="C139" s="335"/>
      <c r="D139" s="335"/>
      <c r="E139" s="335"/>
      <c r="F139" s="335"/>
      <c r="G139" s="335"/>
      <c r="H139" s="336"/>
    </row>
    <row r="140" spans="1:11">
      <c r="A140" s="191"/>
      <c r="B140" s="192" t="s">
        <v>23</v>
      </c>
      <c r="C140" s="192"/>
      <c r="D140" s="192"/>
      <c r="E140" s="172"/>
      <c r="F140" s="172"/>
      <c r="G140" s="172"/>
      <c r="H140" s="193" t="s">
        <v>138</v>
      </c>
    </row>
    <row r="141" spans="1:11">
      <c r="A141" s="194" t="s">
        <v>0</v>
      </c>
      <c r="B141" s="195" t="s">
        <v>139</v>
      </c>
      <c r="C141" s="195"/>
      <c r="D141" s="195"/>
      <c r="E141" s="196"/>
      <c r="F141" s="196"/>
      <c r="G141" s="196"/>
      <c r="H141" s="193">
        <f>D136</f>
        <v>5612.6564219785541</v>
      </c>
    </row>
    <row r="142" spans="1:11" ht="16.5" thickBot="1">
      <c r="A142" s="194" t="s">
        <v>1</v>
      </c>
      <c r="B142" s="195" t="s">
        <v>140</v>
      </c>
      <c r="C142" s="195"/>
      <c r="D142" s="195"/>
      <c r="E142" s="196"/>
      <c r="F142" s="196"/>
      <c r="G142" s="196"/>
      <c r="H142" s="193">
        <f>H137</f>
        <v>5612.6564219785541</v>
      </c>
      <c r="I142" s="2"/>
      <c r="K142" s="2"/>
    </row>
    <row r="143" spans="1:11" ht="16.5" thickBot="1">
      <c r="A143" s="197" t="s">
        <v>3</v>
      </c>
      <c r="B143" s="198" t="s">
        <v>141</v>
      </c>
      <c r="C143" s="198"/>
      <c r="D143" s="199"/>
      <c r="E143" s="200"/>
      <c r="F143" s="200"/>
      <c r="G143" s="183">
        <v>12</v>
      </c>
      <c r="H143" s="201">
        <f>SUM(H142*G143)</f>
        <v>67351.87706374265</v>
      </c>
    </row>
    <row r="144" spans="1:11" ht="15">
      <c r="A144" s="319" t="s">
        <v>142</v>
      </c>
      <c r="B144" s="319"/>
      <c r="C144" s="319"/>
      <c r="D144" s="319"/>
      <c r="E144" s="319"/>
      <c r="F144" s="319"/>
      <c r="G144" s="319"/>
      <c r="H144" s="319"/>
    </row>
    <row r="145" spans="1:8">
      <c r="A145" s="221" t="s">
        <v>143</v>
      </c>
      <c r="B145" s="222" t="s">
        <v>144</v>
      </c>
      <c r="G145" s="203" t="s">
        <v>240</v>
      </c>
      <c r="H145" s="272">
        <f>H142/H33</f>
        <v>3.141634904328229</v>
      </c>
    </row>
    <row r="146" spans="1:8">
      <c r="A146" s="202" t="s">
        <v>143</v>
      </c>
      <c r="B146" s="203" t="s">
        <v>145</v>
      </c>
    </row>
    <row r="147" spans="1:8">
      <c r="H147" s="273"/>
    </row>
  </sheetData>
  <mergeCells count="64">
    <mergeCell ref="A1:H1"/>
    <mergeCell ref="A2:H2"/>
    <mergeCell ref="A3:H3"/>
    <mergeCell ref="C4:D4"/>
    <mergeCell ref="E4:H6"/>
    <mergeCell ref="C5:D5"/>
    <mergeCell ref="A18:H18"/>
    <mergeCell ref="A7:H7"/>
    <mergeCell ref="C8:D8"/>
    <mergeCell ref="C9:D9"/>
    <mergeCell ref="C11:D11"/>
    <mergeCell ref="A12:H12"/>
    <mergeCell ref="E13:G13"/>
    <mergeCell ref="E14:G14"/>
    <mergeCell ref="E15:H15"/>
    <mergeCell ref="E16:H16"/>
    <mergeCell ref="B17:H17"/>
    <mergeCell ref="C10:E10"/>
    <mergeCell ref="B85:H85"/>
    <mergeCell ref="B66:E66"/>
    <mergeCell ref="B67:E67"/>
    <mergeCell ref="B25:H25"/>
    <mergeCell ref="A34:H34"/>
    <mergeCell ref="B35:H35"/>
    <mergeCell ref="B36:H36"/>
    <mergeCell ref="A40:H40"/>
    <mergeCell ref="B41:H41"/>
    <mergeCell ref="A51:H51"/>
    <mergeCell ref="A52:H52"/>
    <mergeCell ref="A53:H53"/>
    <mergeCell ref="B54:H54"/>
    <mergeCell ref="A56:A58"/>
    <mergeCell ref="D56:D57"/>
    <mergeCell ref="E56:E57"/>
    <mergeCell ref="F56:F57"/>
    <mergeCell ref="G56:G57"/>
    <mergeCell ref="A59:A61"/>
    <mergeCell ref="D59:D60"/>
    <mergeCell ref="E59:E60"/>
    <mergeCell ref="F59:F60"/>
    <mergeCell ref="G59:G60"/>
    <mergeCell ref="B62:E62"/>
    <mergeCell ref="B63:E63"/>
    <mergeCell ref="B64:E64"/>
    <mergeCell ref="B65:E65"/>
    <mergeCell ref="A68:H68"/>
    <mergeCell ref="A69:H69"/>
    <mergeCell ref="A70:H70"/>
    <mergeCell ref="B76:H76"/>
    <mergeCell ref="C81:D81"/>
    <mergeCell ref="B84:H84"/>
    <mergeCell ref="B139:H139"/>
    <mergeCell ref="A144:H144"/>
    <mergeCell ref="A94:H95"/>
    <mergeCell ref="B96:H96"/>
    <mergeCell ref="K97:L97"/>
    <mergeCell ref="A99:H99"/>
    <mergeCell ref="B104:H104"/>
    <mergeCell ref="B111:H111"/>
    <mergeCell ref="A110:H110"/>
    <mergeCell ref="A121:H121"/>
    <mergeCell ref="A122:H122"/>
    <mergeCell ref="B123:H123"/>
    <mergeCell ref="B133:H133"/>
  </mergeCells>
  <dataValidations count="3">
    <dataValidation operator="equal" allowBlank="1" showErrorMessage="1" sqref="E27"/>
    <dataValidation type="list" operator="equal" allowBlank="1" showErrorMessage="1" sqref="D29">
      <formula1>$J$27:$J$31</formula1>
      <formula2>0</formula2>
    </dataValidation>
    <dataValidation operator="equal" allowBlank="1" showErrorMessage="1" promptTitle="Percentual" sqref="E29"/>
  </dataValidations>
  <pageMargins left="0.98425196850393704" right="0.59055118110236227" top="1.3779527559055118" bottom="0.59055118110236227" header="0.31496062992125984" footer="0.31496062992125984"/>
  <pageSetup paperSize="9" scale="4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7"/>
  <sheetViews>
    <sheetView topLeftCell="A124" zoomScale="80" zoomScaleNormal="80" workbookViewId="0">
      <selection activeCell="K138" sqref="K138"/>
    </sheetView>
  </sheetViews>
  <sheetFormatPr defaultRowHeight="15.75"/>
  <cols>
    <col min="1" max="1" width="4.85546875" style="202" bestFit="1" customWidth="1"/>
    <col min="2" max="2" width="74.85546875" style="203" bestFit="1" customWidth="1"/>
    <col min="3" max="3" width="5" style="203" customWidth="1"/>
    <col min="4" max="4" width="51" style="203" bestFit="1" customWidth="1"/>
    <col min="5" max="5" width="17.42578125" style="203" customWidth="1"/>
    <col min="6" max="6" width="18" style="203" customWidth="1"/>
    <col min="7" max="7" width="17.7109375" style="203" bestFit="1" customWidth="1"/>
    <col min="8" max="8" width="21.42578125" style="203" customWidth="1"/>
    <col min="9" max="9" width="15.7109375" bestFit="1" customWidth="1"/>
    <col min="11" max="11" width="31" customWidth="1"/>
    <col min="12" max="12" width="12.5703125" bestFit="1" customWidth="1"/>
    <col min="13" max="13" width="15.28515625" customWidth="1"/>
  </cols>
  <sheetData>
    <row r="1" spans="1:8" ht="15" customHeight="1">
      <c r="A1" s="358" t="s">
        <v>25</v>
      </c>
      <c r="B1" s="358"/>
      <c r="C1" s="358"/>
      <c r="D1" s="358"/>
      <c r="E1" s="358"/>
      <c r="F1" s="358"/>
      <c r="G1" s="358"/>
      <c r="H1" s="358"/>
    </row>
    <row r="2" spans="1:8" ht="15.75" customHeight="1" thickBot="1">
      <c r="A2" s="358" t="s">
        <v>26</v>
      </c>
      <c r="B2" s="358"/>
      <c r="C2" s="358"/>
      <c r="D2" s="358"/>
      <c r="E2" s="358"/>
      <c r="F2" s="358"/>
      <c r="G2" s="358"/>
      <c r="H2" s="358"/>
    </row>
    <row r="3" spans="1:8" s="3" customFormat="1" ht="18">
      <c r="A3" s="359" t="s">
        <v>27</v>
      </c>
      <c r="B3" s="360"/>
      <c r="C3" s="360"/>
      <c r="D3" s="360"/>
      <c r="E3" s="360"/>
      <c r="F3" s="360"/>
      <c r="G3" s="360"/>
      <c r="H3" s="361"/>
    </row>
    <row r="4" spans="1:8" ht="15">
      <c r="A4" s="4" t="s">
        <v>0</v>
      </c>
      <c r="B4" s="5" t="s">
        <v>28</v>
      </c>
      <c r="C4" s="362" t="s">
        <v>147</v>
      </c>
      <c r="D4" s="362"/>
      <c r="E4" s="363"/>
      <c r="F4" s="363"/>
      <c r="G4" s="363"/>
      <c r="H4" s="364"/>
    </row>
    <row r="5" spans="1:8" ht="15">
      <c r="A5" s="4" t="s">
        <v>1</v>
      </c>
      <c r="B5" s="5" t="s">
        <v>29</v>
      </c>
      <c r="C5" s="365" t="s">
        <v>147</v>
      </c>
      <c r="D5" s="365"/>
      <c r="E5" s="363"/>
      <c r="F5" s="363"/>
      <c r="G5" s="363"/>
      <c r="H5" s="364"/>
    </row>
    <row r="6" spans="1:8" ht="15">
      <c r="A6" s="4" t="s">
        <v>2</v>
      </c>
      <c r="B6" s="5" t="s">
        <v>30</v>
      </c>
      <c r="C6" s="5"/>
      <c r="D6" s="6" t="s">
        <v>148</v>
      </c>
      <c r="E6" s="363"/>
      <c r="F6" s="363"/>
      <c r="G6" s="363"/>
      <c r="H6" s="364"/>
    </row>
    <row r="7" spans="1:8" s="3" customFormat="1" ht="18">
      <c r="A7" s="349" t="s">
        <v>31</v>
      </c>
      <c r="B7" s="344"/>
      <c r="C7" s="344"/>
      <c r="D7" s="344"/>
      <c r="E7" s="344"/>
      <c r="F7" s="344"/>
      <c r="G7" s="344"/>
      <c r="H7" s="345"/>
    </row>
    <row r="8" spans="1:8" ht="15">
      <c r="A8" s="7" t="s">
        <v>0</v>
      </c>
      <c r="B8" s="8" t="s">
        <v>32</v>
      </c>
      <c r="C8" s="354" t="s">
        <v>147</v>
      </c>
      <c r="D8" s="355"/>
      <c r="E8" s="9"/>
      <c r="F8" s="9"/>
      <c r="G8" s="9"/>
      <c r="H8" s="10"/>
    </row>
    <row r="9" spans="1:8">
      <c r="A9" s="7" t="s">
        <v>1</v>
      </c>
      <c r="B9" s="8" t="s">
        <v>33</v>
      </c>
      <c r="C9" s="356" t="s">
        <v>220</v>
      </c>
      <c r="D9" s="356"/>
      <c r="E9" s="11"/>
      <c r="F9" s="11"/>
      <c r="G9" s="11"/>
      <c r="H9" s="12"/>
    </row>
    <row r="10" spans="1:8" ht="15" customHeight="1">
      <c r="A10" s="7" t="s">
        <v>2</v>
      </c>
      <c r="B10" s="8" t="s">
        <v>34</v>
      </c>
      <c r="C10" s="357" t="s">
        <v>221</v>
      </c>
      <c r="D10" s="357"/>
      <c r="E10" s="357"/>
      <c r="F10" s="11"/>
      <c r="G10" s="11"/>
      <c r="H10" s="12"/>
    </row>
    <row r="11" spans="1:8" ht="15">
      <c r="A11" s="7" t="s">
        <v>3</v>
      </c>
      <c r="B11" s="8" t="s">
        <v>35</v>
      </c>
      <c r="C11" s="357">
        <v>12</v>
      </c>
      <c r="D11" s="357"/>
      <c r="E11" s="11"/>
      <c r="F11" s="11"/>
      <c r="G11" s="11"/>
      <c r="H11" s="12"/>
    </row>
    <row r="12" spans="1:8" s="3" customFormat="1" ht="18">
      <c r="A12" s="349" t="s">
        <v>36</v>
      </c>
      <c r="B12" s="344"/>
      <c r="C12" s="344"/>
      <c r="D12" s="344"/>
      <c r="E12" s="344"/>
      <c r="F12" s="344"/>
      <c r="G12" s="344"/>
      <c r="H12" s="345"/>
    </row>
    <row r="13" spans="1:8" ht="15.75" customHeight="1">
      <c r="A13" s="7"/>
      <c r="B13" s="13" t="s">
        <v>37</v>
      </c>
      <c r="C13" s="13"/>
      <c r="D13" s="14" t="s">
        <v>38</v>
      </c>
      <c r="E13" s="350" t="s">
        <v>39</v>
      </c>
      <c r="F13" s="350"/>
      <c r="G13" s="350"/>
      <c r="H13" s="15" t="s">
        <v>24</v>
      </c>
    </row>
    <row r="14" spans="1:8" ht="15">
      <c r="A14" s="7" t="s">
        <v>0</v>
      </c>
      <c r="B14" s="16" t="s">
        <v>222</v>
      </c>
      <c r="C14" s="17"/>
      <c r="D14" s="18" t="s">
        <v>223</v>
      </c>
      <c r="E14" s="351">
        <v>1</v>
      </c>
      <c r="F14" s="351"/>
      <c r="G14" s="351"/>
      <c r="H14" s="19" t="s">
        <v>40</v>
      </c>
    </row>
    <row r="15" spans="1:8" ht="15">
      <c r="A15" s="7" t="s">
        <v>1</v>
      </c>
      <c r="B15" s="8"/>
      <c r="C15" s="8"/>
      <c r="D15" s="260" t="s">
        <v>224</v>
      </c>
      <c r="E15" s="352"/>
      <c r="F15" s="352"/>
      <c r="G15" s="352"/>
      <c r="H15" s="353"/>
    </row>
    <row r="16" spans="1:8" ht="15">
      <c r="A16" s="7" t="s">
        <v>2</v>
      </c>
      <c r="B16" s="8"/>
      <c r="C16" s="8"/>
      <c r="D16" s="260" t="s">
        <v>225</v>
      </c>
      <c r="E16" s="352"/>
      <c r="F16" s="352"/>
      <c r="G16" s="352"/>
      <c r="H16" s="353"/>
    </row>
    <row r="17" spans="1:11" s="3" customFormat="1" ht="18">
      <c r="A17" s="21"/>
      <c r="B17" s="344" t="s">
        <v>41</v>
      </c>
      <c r="C17" s="344"/>
      <c r="D17" s="344"/>
      <c r="E17" s="344"/>
      <c r="F17" s="344"/>
      <c r="G17" s="344"/>
      <c r="H17" s="345"/>
    </row>
    <row r="18" spans="1:11" ht="18">
      <c r="A18" s="346" t="s">
        <v>42</v>
      </c>
      <c r="B18" s="347"/>
      <c r="C18" s="347"/>
      <c r="D18" s="347"/>
      <c r="E18" s="347"/>
      <c r="F18" s="347"/>
      <c r="G18" s="347"/>
      <c r="H18" s="348"/>
    </row>
    <row r="19" spans="1:11" ht="15">
      <c r="A19" s="7">
        <v>1</v>
      </c>
      <c r="B19" s="8" t="s">
        <v>37</v>
      </c>
      <c r="C19" s="8"/>
      <c r="D19" s="16" t="str">
        <f>B14</f>
        <v>PORTEIRO</v>
      </c>
      <c r="E19" s="16"/>
      <c r="F19" s="16"/>
      <c r="G19" s="16"/>
      <c r="H19" s="22"/>
    </row>
    <row r="20" spans="1:11" ht="15">
      <c r="A20" s="7">
        <v>2</v>
      </c>
      <c r="B20" s="8" t="s">
        <v>43</v>
      </c>
      <c r="C20" s="8"/>
      <c r="D20" s="23" t="s">
        <v>199</v>
      </c>
      <c r="E20" s="23"/>
      <c r="F20" s="23"/>
      <c r="G20" s="23"/>
      <c r="H20" s="24"/>
    </row>
    <row r="21" spans="1:11" ht="15">
      <c r="A21" s="7">
        <v>3</v>
      </c>
      <c r="B21" s="8" t="s">
        <v>44</v>
      </c>
      <c r="C21" s="8"/>
      <c r="D21" s="25">
        <v>1695</v>
      </c>
      <c r="E21" s="26"/>
      <c r="F21" s="26"/>
      <c r="G21" s="26"/>
      <c r="H21" s="27"/>
    </row>
    <row r="22" spans="1:11" ht="15">
      <c r="A22" s="4">
        <v>4</v>
      </c>
      <c r="B22" s="20" t="s">
        <v>45</v>
      </c>
      <c r="C22" s="20"/>
      <c r="D22" s="11" t="s">
        <v>222</v>
      </c>
      <c r="E22" s="11"/>
      <c r="F22" s="11"/>
      <c r="G22" s="11"/>
      <c r="H22" s="12"/>
      <c r="K22" s="28"/>
    </row>
    <row r="23" spans="1:11" thickBot="1">
      <c r="A23" s="29">
        <v>5</v>
      </c>
      <c r="B23" s="30" t="s">
        <v>46</v>
      </c>
      <c r="C23" s="30"/>
      <c r="D23" s="31" t="s">
        <v>47</v>
      </c>
      <c r="E23" s="31"/>
      <c r="F23" s="31"/>
      <c r="G23" s="31"/>
      <c r="H23" s="32"/>
      <c r="K23" s="28"/>
    </row>
    <row r="24" spans="1:11" thickBot="1">
      <c r="A24" s="33"/>
      <c r="B24" s="34"/>
      <c r="C24" s="34"/>
      <c r="D24" s="35"/>
      <c r="E24" s="35"/>
      <c r="F24" s="35"/>
      <c r="G24" s="35"/>
      <c r="H24" s="35"/>
      <c r="K24" s="28"/>
    </row>
    <row r="25" spans="1:11" s="3" customFormat="1" ht="23.25">
      <c r="A25" s="36">
        <v>1</v>
      </c>
      <c r="B25" s="317" t="s">
        <v>48</v>
      </c>
      <c r="C25" s="317"/>
      <c r="D25" s="317"/>
      <c r="E25" s="317"/>
      <c r="F25" s="317"/>
      <c r="G25" s="317"/>
      <c r="H25" s="318"/>
      <c r="K25" s="37"/>
    </row>
    <row r="26" spans="1:11">
      <c r="A26" s="38" t="s">
        <v>0</v>
      </c>
      <c r="B26" s="39" t="s">
        <v>49</v>
      </c>
      <c r="C26" s="39"/>
      <c r="D26" s="40"/>
      <c r="E26" s="41"/>
      <c r="F26" s="41"/>
      <c r="G26" s="54"/>
      <c r="H26" s="204">
        <f>D21</f>
        <v>1695</v>
      </c>
      <c r="K26" s="28"/>
    </row>
    <row r="27" spans="1:11">
      <c r="A27" s="38" t="s">
        <v>1</v>
      </c>
      <c r="B27" s="42" t="s">
        <v>200</v>
      </c>
      <c r="C27" s="43"/>
      <c r="D27" s="261" t="s">
        <v>226</v>
      </c>
      <c r="E27" s="45">
        <v>0</v>
      </c>
      <c r="F27" s="50"/>
      <c r="G27" s="41"/>
      <c r="H27" s="262">
        <v>56.44</v>
      </c>
      <c r="K27" s="28"/>
    </row>
    <row r="28" spans="1:11">
      <c r="A28" s="38" t="s">
        <v>2</v>
      </c>
      <c r="B28" s="42" t="s">
        <v>50</v>
      </c>
      <c r="C28" s="43"/>
      <c r="D28" s="46" t="s">
        <v>51</v>
      </c>
      <c r="E28" s="47" t="s">
        <v>22</v>
      </c>
      <c r="F28" s="46" t="s">
        <v>52</v>
      </c>
      <c r="G28" s="48"/>
      <c r="H28" s="223">
        <v>0</v>
      </c>
      <c r="K28" s="28"/>
    </row>
    <row r="29" spans="1:11">
      <c r="A29" s="38"/>
      <c r="B29" s="42"/>
      <c r="C29" s="43"/>
      <c r="D29" s="44" t="s">
        <v>53</v>
      </c>
      <c r="E29" s="45">
        <v>0</v>
      </c>
      <c r="F29" s="49">
        <v>0</v>
      </c>
      <c r="G29" s="48"/>
      <c r="H29" s="223">
        <v>0</v>
      </c>
      <c r="K29" s="28"/>
    </row>
    <row r="30" spans="1:11">
      <c r="A30" s="38" t="s">
        <v>3</v>
      </c>
      <c r="B30" s="42" t="s">
        <v>54</v>
      </c>
      <c r="C30" s="43"/>
      <c r="D30" s="263"/>
      <c r="E30" s="263"/>
      <c r="F30" s="263"/>
      <c r="G30" s="39"/>
      <c r="H30" s="223">
        <v>0</v>
      </c>
    </row>
    <row r="31" spans="1:11">
      <c r="A31" s="38" t="s">
        <v>4</v>
      </c>
      <c r="B31" s="42" t="s">
        <v>227</v>
      </c>
      <c r="C31" s="43"/>
      <c r="D31" s="261" t="s">
        <v>228</v>
      </c>
      <c r="E31" s="264">
        <f>((H26+H27)/220)*1.5</f>
        <v>11.941636363636364</v>
      </c>
      <c r="F31" s="265">
        <f>(50-44)*4.5</f>
        <v>27</v>
      </c>
      <c r="G31" s="48"/>
      <c r="H31" s="224">
        <f>E31*F31</f>
        <v>322.42418181818186</v>
      </c>
    </row>
    <row r="32" spans="1:11">
      <c r="A32" s="38" t="s">
        <v>5</v>
      </c>
      <c r="B32" s="42" t="s">
        <v>229</v>
      </c>
      <c r="C32" s="42"/>
      <c r="D32" s="39"/>
      <c r="E32" s="266"/>
      <c r="F32" s="48"/>
      <c r="G32" s="48"/>
      <c r="H32" s="219">
        <f>H31*E32</f>
        <v>0</v>
      </c>
    </row>
    <row r="33" spans="1:11" ht="16.5" thickBot="1">
      <c r="A33" s="205"/>
      <c r="B33" s="206" t="s">
        <v>16</v>
      </c>
      <c r="C33" s="206"/>
      <c r="D33" s="103"/>
      <c r="E33" s="103"/>
      <c r="F33" s="207"/>
      <c r="G33" s="207"/>
      <c r="H33" s="208">
        <f>ROUND(SUM(H26:H32),2)</f>
        <v>2073.86</v>
      </c>
    </row>
    <row r="34" spans="1:11" ht="15.75" customHeight="1" thickBot="1">
      <c r="A34" s="343" t="s">
        <v>55</v>
      </c>
      <c r="B34" s="343"/>
      <c r="C34" s="343"/>
      <c r="D34" s="343"/>
      <c r="E34" s="343"/>
      <c r="F34" s="343"/>
      <c r="G34" s="343"/>
      <c r="H34" s="343"/>
    </row>
    <row r="35" spans="1:11" s="52" customFormat="1" ht="23.25">
      <c r="A35" s="36">
        <v>2</v>
      </c>
      <c r="B35" s="317" t="s">
        <v>56</v>
      </c>
      <c r="C35" s="317"/>
      <c r="D35" s="317"/>
      <c r="E35" s="317"/>
      <c r="F35" s="317"/>
      <c r="G35" s="317"/>
      <c r="H35" s="318"/>
    </row>
    <row r="36" spans="1:11">
      <c r="A36" s="53" t="s">
        <v>7</v>
      </c>
      <c r="B36" s="341" t="s">
        <v>57</v>
      </c>
      <c r="C36" s="341"/>
      <c r="D36" s="341"/>
      <c r="E36" s="341"/>
      <c r="F36" s="341"/>
      <c r="G36" s="341"/>
      <c r="H36" s="342"/>
    </row>
    <row r="37" spans="1:11">
      <c r="A37" s="38" t="s">
        <v>0</v>
      </c>
      <c r="B37" s="256" t="s">
        <v>58</v>
      </c>
      <c r="C37" s="256"/>
      <c r="D37" s="256"/>
      <c r="E37" s="39"/>
      <c r="F37" s="54"/>
      <c r="G37" s="55">
        <v>8.3299999999999999E-2</v>
      </c>
      <c r="H37" s="56">
        <f>SUM($H$33*G37)</f>
        <v>172.75253800000002</v>
      </c>
    </row>
    <row r="38" spans="1:11">
      <c r="A38" s="38" t="s">
        <v>1</v>
      </c>
      <c r="B38" s="39" t="s">
        <v>59</v>
      </c>
      <c r="C38" s="39"/>
      <c r="D38" s="39"/>
      <c r="E38" s="39"/>
      <c r="F38" s="57"/>
      <c r="G38" s="58">
        <v>0.121</v>
      </c>
      <c r="H38" s="56">
        <f>SUM($H$33*G38)</f>
        <v>250.93706</v>
      </c>
    </row>
    <row r="39" spans="1:11" ht="16.5" thickBot="1">
      <c r="A39" s="165"/>
      <c r="B39" s="206" t="s">
        <v>16</v>
      </c>
      <c r="C39" s="206"/>
      <c r="D39" s="103"/>
      <c r="E39" s="103"/>
      <c r="F39" s="207"/>
      <c r="G39" s="214">
        <f>G37+G38</f>
        <v>0.20429999999999998</v>
      </c>
      <c r="H39" s="208">
        <f>H37+H38</f>
        <v>423.68959800000005</v>
      </c>
      <c r="K39" s="163"/>
    </row>
    <row r="40" spans="1:11" ht="15">
      <c r="A40" s="343"/>
      <c r="B40" s="343"/>
      <c r="C40" s="343"/>
      <c r="D40" s="343"/>
      <c r="E40" s="343"/>
      <c r="F40" s="343"/>
      <c r="G40" s="343"/>
      <c r="H40" s="343"/>
    </row>
    <row r="41" spans="1:11" s="3" customFormat="1">
      <c r="A41" s="60" t="s">
        <v>8</v>
      </c>
      <c r="B41" s="321" t="s">
        <v>60</v>
      </c>
      <c r="C41" s="321"/>
      <c r="D41" s="321"/>
      <c r="E41" s="321"/>
      <c r="F41" s="321"/>
      <c r="G41" s="321"/>
      <c r="H41" s="322"/>
    </row>
    <row r="42" spans="1:11">
      <c r="A42" s="38" t="s">
        <v>0</v>
      </c>
      <c r="B42" s="42" t="s">
        <v>10</v>
      </c>
      <c r="C42" s="42"/>
      <c r="D42" s="39"/>
      <c r="E42" s="39"/>
      <c r="F42" s="54"/>
      <c r="G42" s="55">
        <v>0.2</v>
      </c>
      <c r="H42" s="56">
        <f>SUM($H$33+$H$39)*G42</f>
        <v>499.50991960000005</v>
      </c>
    </row>
    <row r="43" spans="1:11">
      <c r="A43" s="38" t="s">
        <v>1</v>
      </c>
      <c r="B43" s="42" t="s">
        <v>61</v>
      </c>
      <c r="C43" s="42"/>
      <c r="D43" s="61"/>
      <c r="E43" s="61"/>
      <c r="F43" s="54"/>
      <c r="G43" s="62">
        <v>2.5000000000000001E-2</v>
      </c>
      <c r="H43" s="56">
        <f>SUM($H$33+$H$39)*G43</f>
        <v>62.438739950000006</v>
      </c>
    </row>
    <row r="44" spans="1:11">
      <c r="A44" s="38" t="s">
        <v>2</v>
      </c>
      <c r="B44" s="42" t="s">
        <v>62</v>
      </c>
      <c r="C44" s="42"/>
      <c r="D44" s="61"/>
      <c r="E44" s="61"/>
      <c r="F44" s="54"/>
      <c r="G44" s="218">
        <f>1*3/100</f>
        <v>0.03</v>
      </c>
      <c r="H44" s="56">
        <f t="shared" ref="H44:H48" si="0">SUM($H$33+$H$39)*G44</f>
        <v>74.926487940000001</v>
      </c>
    </row>
    <row r="45" spans="1:11">
      <c r="A45" s="38" t="s">
        <v>3</v>
      </c>
      <c r="B45" s="42" t="s">
        <v>63</v>
      </c>
      <c r="C45" s="42"/>
      <c r="D45" s="39"/>
      <c r="E45" s="39"/>
      <c r="F45" s="54"/>
      <c r="G45" s="62">
        <v>1.4999999999999999E-2</v>
      </c>
      <c r="H45" s="56">
        <f t="shared" si="0"/>
        <v>37.463243970000001</v>
      </c>
    </row>
    <row r="46" spans="1:11">
      <c r="A46" s="38" t="s">
        <v>4</v>
      </c>
      <c r="B46" s="42" t="s">
        <v>64</v>
      </c>
      <c r="C46" s="42"/>
      <c r="D46" s="39"/>
      <c r="E46" s="39"/>
      <c r="F46" s="54"/>
      <c r="G46" s="62">
        <v>0.01</v>
      </c>
      <c r="H46" s="56">
        <f t="shared" si="0"/>
        <v>24.975495980000002</v>
      </c>
    </row>
    <row r="47" spans="1:11">
      <c r="A47" s="38" t="s">
        <v>5</v>
      </c>
      <c r="B47" s="42" t="s">
        <v>11</v>
      </c>
      <c r="C47" s="42"/>
      <c r="D47" s="39"/>
      <c r="E47" s="39"/>
      <c r="F47" s="54"/>
      <c r="G47" s="63">
        <v>6.0000000000000001E-3</v>
      </c>
      <c r="H47" s="56">
        <f t="shared" si="0"/>
        <v>14.985297588</v>
      </c>
    </row>
    <row r="48" spans="1:11">
      <c r="A48" s="38" t="s">
        <v>12</v>
      </c>
      <c r="B48" s="42" t="s">
        <v>13</v>
      </c>
      <c r="C48" s="42"/>
      <c r="D48" s="64"/>
      <c r="E48" s="64"/>
      <c r="F48" s="64"/>
      <c r="G48" s="62">
        <v>2E-3</v>
      </c>
      <c r="H48" s="56">
        <f t="shared" si="0"/>
        <v>4.995099196</v>
      </c>
    </row>
    <row r="49" spans="1:9">
      <c r="A49" s="38" t="s">
        <v>5</v>
      </c>
      <c r="B49" s="42" t="s">
        <v>14</v>
      </c>
      <c r="C49" s="42"/>
      <c r="D49" s="39"/>
      <c r="E49" s="39"/>
      <c r="F49" s="54"/>
      <c r="G49" s="62">
        <v>0.08</v>
      </c>
      <c r="H49" s="56">
        <f>SUM($H$33+$H$39)*G49</f>
        <v>199.80396784000001</v>
      </c>
    </row>
    <row r="50" spans="1:9">
      <c r="A50" s="119"/>
      <c r="B50" s="120" t="s">
        <v>16</v>
      </c>
      <c r="C50" s="120"/>
      <c r="D50" s="209"/>
      <c r="E50" s="209"/>
      <c r="F50" s="210"/>
      <c r="G50" s="123">
        <f>SUM(G42:G49)</f>
        <v>0.36800000000000005</v>
      </c>
      <c r="H50" s="124">
        <f>SUM(H42:H49)</f>
        <v>919.09825206400001</v>
      </c>
    </row>
    <row r="51" spans="1:9" ht="15">
      <c r="A51" s="319" t="s">
        <v>65</v>
      </c>
      <c r="B51" s="319"/>
      <c r="C51" s="319"/>
      <c r="D51" s="319"/>
      <c r="E51" s="319"/>
      <c r="F51" s="319"/>
      <c r="G51" s="319"/>
      <c r="H51" s="319"/>
    </row>
    <row r="52" spans="1:9" ht="15">
      <c r="A52" s="319" t="s">
        <v>66</v>
      </c>
      <c r="B52" s="319"/>
      <c r="C52" s="319"/>
      <c r="D52" s="319"/>
      <c r="E52" s="319"/>
      <c r="F52" s="319"/>
      <c r="G52" s="319"/>
      <c r="H52" s="319"/>
    </row>
    <row r="53" spans="1:9" ht="15">
      <c r="A53" s="319" t="s">
        <v>67</v>
      </c>
      <c r="B53" s="319"/>
      <c r="C53" s="319"/>
      <c r="D53" s="319"/>
      <c r="E53" s="319"/>
      <c r="F53" s="319"/>
      <c r="G53" s="319"/>
      <c r="H53" s="319"/>
    </row>
    <row r="54" spans="1:9" s="3" customFormat="1">
      <c r="A54" s="60" t="s">
        <v>15</v>
      </c>
      <c r="B54" s="321" t="s">
        <v>68</v>
      </c>
      <c r="C54" s="321"/>
      <c r="D54" s="321"/>
      <c r="E54" s="321"/>
      <c r="F54" s="321"/>
      <c r="G54" s="321"/>
      <c r="H54" s="322"/>
    </row>
    <row r="55" spans="1:9">
      <c r="A55" s="38"/>
      <c r="B55" s="65"/>
      <c r="C55" s="66"/>
      <c r="D55" s="211" t="s">
        <v>69</v>
      </c>
      <c r="E55" s="212" t="s">
        <v>70</v>
      </c>
      <c r="F55" s="212" t="s">
        <v>71</v>
      </c>
      <c r="G55" s="212" t="s">
        <v>72</v>
      </c>
      <c r="H55" s="67"/>
    </row>
    <row r="56" spans="1:9">
      <c r="A56" s="327" t="s">
        <v>0</v>
      </c>
      <c r="B56" s="68" t="s">
        <v>73</v>
      </c>
      <c r="C56" s="69"/>
      <c r="D56" s="330">
        <v>22</v>
      </c>
      <c r="E56" s="331">
        <v>2</v>
      </c>
      <c r="F56" s="333">
        <v>4.5</v>
      </c>
      <c r="G56" s="334">
        <v>0.06</v>
      </c>
      <c r="H56" s="51">
        <f>F56*E56*D56</f>
        <v>198</v>
      </c>
    </row>
    <row r="57" spans="1:9">
      <c r="A57" s="328"/>
      <c r="B57" s="70" t="s">
        <v>74</v>
      </c>
      <c r="C57" s="69"/>
      <c r="D57" s="330"/>
      <c r="E57" s="332"/>
      <c r="F57" s="332"/>
      <c r="G57" s="332"/>
      <c r="H57" s="51">
        <f>H26*G56</f>
        <v>101.7</v>
      </c>
    </row>
    <row r="58" spans="1:9">
      <c r="A58" s="329"/>
      <c r="B58" s="71" t="s">
        <v>75</v>
      </c>
      <c r="C58" s="257"/>
      <c r="D58" s="267"/>
      <c r="E58" s="73"/>
      <c r="F58" s="73"/>
      <c r="G58" s="74"/>
      <c r="H58" s="75">
        <f>H56-H57</f>
        <v>96.3</v>
      </c>
    </row>
    <row r="59" spans="1:9">
      <c r="A59" s="327" t="s">
        <v>1</v>
      </c>
      <c r="B59" s="68" t="s">
        <v>230</v>
      </c>
      <c r="C59" s="69"/>
      <c r="D59" s="330">
        <v>1</v>
      </c>
      <c r="E59" s="331">
        <v>1</v>
      </c>
      <c r="F59" s="333">
        <v>414</v>
      </c>
      <c r="G59" s="334">
        <v>0.2</v>
      </c>
      <c r="H59" s="51">
        <f>F59*E59*D59</f>
        <v>414</v>
      </c>
    </row>
    <row r="60" spans="1:9">
      <c r="A60" s="328"/>
      <c r="B60" s="70" t="s">
        <v>74</v>
      </c>
      <c r="C60" s="69"/>
      <c r="D60" s="330"/>
      <c r="E60" s="332"/>
      <c r="F60" s="332"/>
      <c r="G60" s="332"/>
      <c r="H60" s="51">
        <f>H59*G59</f>
        <v>82.800000000000011</v>
      </c>
    </row>
    <row r="61" spans="1:9">
      <c r="A61" s="329"/>
      <c r="B61" s="76" t="s">
        <v>75</v>
      </c>
      <c r="C61" s="77"/>
      <c r="D61" s="77"/>
      <c r="E61" s="77"/>
      <c r="F61" s="78"/>
      <c r="G61" s="78"/>
      <c r="H61" s="75">
        <f>H59-H60</f>
        <v>331.2</v>
      </c>
    </row>
    <row r="62" spans="1:9">
      <c r="A62" s="258" t="s">
        <v>2</v>
      </c>
      <c r="B62" s="340" t="s">
        <v>231</v>
      </c>
      <c r="C62" s="340"/>
      <c r="D62" s="340"/>
      <c r="E62" s="340"/>
      <c r="F62" s="78"/>
      <c r="G62" s="79"/>
      <c r="H62" s="219">
        <v>62.5</v>
      </c>
    </row>
    <row r="63" spans="1:9" ht="15">
      <c r="A63" s="258" t="s">
        <v>3</v>
      </c>
      <c r="B63" s="324" t="s">
        <v>232</v>
      </c>
      <c r="C63" s="324"/>
      <c r="D63" s="324"/>
      <c r="E63" s="324"/>
      <c r="F63" s="80"/>
      <c r="G63" s="81"/>
      <c r="H63" s="268">
        <v>20.5</v>
      </c>
      <c r="I63" s="127"/>
    </row>
    <row r="64" spans="1:9">
      <c r="A64" s="258" t="s">
        <v>4</v>
      </c>
      <c r="B64" s="324" t="s">
        <v>233</v>
      </c>
      <c r="C64" s="324"/>
      <c r="D64" s="324"/>
      <c r="E64" s="324"/>
      <c r="F64" s="80"/>
      <c r="G64" s="81"/>
      <c r="H64" s="219">
        <v>20.5</v>
      </c>
    </row>
    <row r="65" spans="1:8">
      <c r="A65" s="258" t="s">
        <v>5</v>
      </c>
      <c r="B65" s="324" t="s">
        <v>234</v>
      </c>
      <c r="C65" s="324"/>
      <c r="D65" s="324"/>
      <c r="E65" s="324"/>
      <c r="F65" s="80"/>
      <c r="G65" s="81"/>
      <c r="H65" s="219">
        <f>H61/12</f>
        <v>27.599999999999998</v>
      </c>
    </row>
    <row r="66" spans="1:8">
      <c r="A66" s="258" t="s">
        <v>12</v>
      </c>
      <c r="B66" s="324" t="s">
        <v>235</v>
      </c>
      <c r="C66" s="324"/>
      <c r="D66" s="324"/>
      <c r="E66" s="324"/>
      <c r="F66" s="80"/>
      <c r="G66" s="81"/>
      <c r="H66" s="219">
        <f>((137.87*6)/12)*0.005</f>
        <v>0.34467500000000001</v>
      </c>
    </row>
    <row r="67" spans="1:8" ht="16.5" thickBot="1">
      <c r="A67" s="82"/>
      <c r="B67" s="323" t="s">
        <v>16</v>
      </c>
      <c r="C67" s="323"/>
      <c r="D67" s="323"/>
      <c r="E67" s="323"/>
      <c r="F67" s="83"/>
      <c r="G67" s="83"/>
      <c r="H67" s="84">
        <f>H58+H61+H62+H63+H64+H65+H66</f>
        <v>558.94467500000007</v>
      </c>
    </row>
    <row r="68" spans="1:8" ht="15.75" customHeight="1">
      <c r="A68" s="319" t="s">
        <v>76</v>
      </c>
      <c r="B68" s="319"/>
      <c r="C68" s="319"/>
      <c r="D68" s="319"/>
      <c r="E68" s="319"/>
      <c r="F68" s="319"/>
      <c r="G68" s="319"/>
      <c r="H68" s="319"/>
    </row>
    <row r="69" spans="1:8" ht="15">
      <c r="A69" s="319" t="s">
        <v>77</v>
      </c>
      <c r="B69" s="319"/>
      <c r="C69" s="319"/>
      <c r="D69" s="319"/>
      <c r="E69" s="319"/>
      <c r="F69" s="319"/>
      <c r="G69" s="319"/>
      <c r="H69" s="319"/>
    </row>
    <row r="70" spans="1:8" s="3" customFormat="1" ht="18">
      <c r="A70" s="314" t="s">
        <v>78</v>
      </c>
      <c r="B70" s="315"/>
      <c r="C70" s="315"/>
      <c r="D70" s="315"/>
      <c r="E70" s="315"/>
      <c r="F70" s="315"/>
      <c r="G70" s="315"/>
      <c r="H70" s="316"/>
    </row>
    <row r="71" spans="1:8">
      <c r="A71" s="85" t="s">
        <v>7</v>
      </c>
      <c r="B71" s="86" t="s">
        <v>79</v>
      </c>
      <c r="C71" s="86"/>
      <c r="D71" s="87"/>
      <c r="E71" s="87"/>
      <c r="F71" s="88"/>
      <c r="G71" s="88"/>
      <c r="H71" s="89">
        <f>H39</f>
        <v>423.68959800000005</v>
      </c>
    </row>
    <row r="72" spans="1:8">
      <c r="A72" s="85" t="s">
        <v>8</v>
      </c>
      <c r="B72" s="86" t="s">
        <v>9</v>
      </c>
      <c r="C72" s="86"/>
      <c r="D72" s="87"/>
      <c r="E72" s="87"/>
      <c r="F72" s="88"/>
      <c r="G72" s="88"/>
      <c r="H72" s="89">
        <f>H50</f>
        <v>919.09825206400001</v>
      </c>
    </row>
    <row r="73" spans="1:8">
      <c r="A73" s="85" t="s">
        <v>15</v>
      </c>
      <c r="B73" s="86" t="s">
        <v>80</v>
      </c>
      <c r="C73" s="86"/>
      <c r="D73" s="87"/>
      <c r="E73" s="87"/>
      <c r="F73" s="88"/>
      <c r="G73" s="88"/>
      <c r="H73" s="89">
        <f>H67</f>
        <v>558.94467500000007</v>
      </c>
    </row>
    <row r="74" spans="1:8" ht="16.5" thickBot="1">
      <c r="A74" s="90"/>
      <c r="B74" s="91" t="s">
        <v>16</v>
      </c>
      <c r="C74" s="91"/>
      <c r="D74" s="91"/>
      <c r="E74" s="91"/>
      <c r="F74" s="92"/>
      <c r="G74" s="92"/>
      <c r="H74" s="93">
        <f>SUM(H71:H73)</f>
        <v>1901.7325250640001</v>
      </c>
    </row>
    <row r="75" spans="1:8" ht="16.5" thickBot="1">
      <c r="A75" s="94"/>
      <c r="B75" s="95"/>
      <c r="C75" s="95"/>
      <c r="D75" s="95"/>
      <c r="E75" s="95"/>
      <c r="F75" s="78"/>
      <c r="G75" s="78"/>
      <c r="H75" s="96"/>
    </row>
    <row r="76" spans="1:8" s="3" customFormat="1" ht="23.25">
      <c r="A76" s="36">
        <v>3</v>
      </c>
      <c r="B76" s="317" t="s">
        <v>81</v>
      </c>
      <c r="C76" s="317"/>
      <c r="D76" s="317"/>
      <c r="E76" s="317"/>
      <c r="F76" s="317"/>
      <c r="G76" s="317"/>
      <c r="H76" s="318"/>
    </row>
    <row r="77" spans="1:8">
      <c r="A77" s="38" t="s">
        <v>0</v>
      </c>
      <c r="B77" s="39" t="s">
        <v>82</v>
      </c>
      <c r="C77" s="39"/>
      <c r="D77" s="97"/>
      <c r="E77" s="97"/>
      <c r="F77" s="97"/>
      <c r="G77" s="55">
        <v>4.1999999999999997E-3</v>
      </c>
      <c r="H77" s="56">
        <f>(($H$33+$H$97)*G77)</f>
        <v>8.7102120000000003</v>
      </c>
    </row>
    <row r="78" spans="1:8">
      <c r="A78" s="38" t="s">
        <v>1</v>
      </c>
      <c r="B78" s="39" t="s">
        <v>83</v>
      </c>
      <c r="C78" s="39"/>
      <c r="D78" s="39"/>
      <c r="E78" s="39"/>
      <c r="F78" s="54"/>
      <c r="G78" s="55">
        <f>G77*G49</f>
        <v>3.3599999999999998E-4</v>
      </c>
      <c r="H78" s="56">
        <f t="shared" ref="H78:H81" si="1">(($H$33+$H$97)*G78)</f>
        <v>0.69681696000000004</v>
      </c>
    </row>
    <row r="79" spans="1:8">
      <c r="A79" s="38" t="s">
        <v>2</v>
      </c>
      <c r="B79" s="39" t="s">
        <v>85</v>
      </c>
      <c r="C79" s="39"/>
      <c r="D79" s="97"/>
      <c r="E79" s="97"/>
      <c r="F79" s="97"/>
      <c r="G79" s="63">
        <v>1.9400000000000001E-2</v>
      </c>
      <c r="H79" s="56">
        <f t="shared" si="1"/>
        <v>40.232884000000006</v>
      </c>
    </row>
    <row r="80" spans="1:8">
      <c r="A80" s="99" t="s">
        <v>3</v>
      </c>
      <c r="B80" s="100" t="s">
        <v>86</v>
      </c>
      <c r="C80" s="39"/>
      <c r="D80" s="39"/>
      <c r="E80" s="39"/>
      <c r="F80" s="54"/>
      <c r="G80" s="269">
        <f>G79*G50</f>
        <v>7.1392000000000009E-3</v>
      </c>
      <c r="H80" s="56">
        <f t="shared" si="1"/>
        <v>14.805701312000004</v>
      </c>
    </row>
    <row r="81" spans="1:8" ht="33" customHeight="1">
      <c r="A81" s="38" t="s">
        <v>4</v>
      </c>
      <c r="B81" s="270" t="s">
        <v>236</v>
      </c>
      <c r="C81" s="337" t="s">
        <v>84</v>
      </c>
      <c r="D81" s="337"/>
      <c r="E81" s="98"/>
      <c r="F81" s="98"/>
      <c r="G81" s="215">
        <f>(0.4*0.083)*((1+0.08333+0.0909+(0.0909/3)))</f>
        <v>3.9990395999999998E-2</v>
      </c>
      <c r="H81" s="56">
        <f t="shared" si="1"/>
        <v>82.934482648560007</v>
      </c>
    </row>
    <row r="82" spans="1:8" ht="16.5" thickBot="1">
      <c r="A82" s="101"/>
      <c r="B82" s="102" t="s">
        <v>16</v>
      </c>
      <c r="C82" s="102"/>
      <c r="D82" s="103"/>
      <c r="E82" s="103"/>
      <c r="F82" s="104"/>
      <c r="G82" s="105">
        <f>SUM(G77:G81)</f>
        <v>7.1065595999999995E-2</v>
      </c>
      <c r="H82" s="106">
        <f>SUM(H77:H81)</f>
        <v>147.38009692055999</v>
      </c>
    </row>
    <row r="83" spans="1:8" ht="16.5" thickBot="1">
      <c r="A83" s="107"/>
      <c r="B83" s="108"/>
      <c r="C83" s="108"/>
      <c r="D83" s="73"/>
      <c r="E83" s="73"/>
      <c r="F83" s="109"/>
      <c r="G83" s="110"/>
      <c r="H83" s="111"/>
    </row>
    <row r="84" spans="1:8" s="3" customFormat="1" ht="23.25">
      <c r="A84" s="36">
        <v>4</v>
      </c>
      <c r="B84" s="338" t="s">
        <v>87</v>
      </c>
      <c r="C84" s="338"/>
      <c r="D84" s="338"/>
      <c r="E84" s="338"/>
      <c r="F84" s="338"/>
      <c r="G84" s="338"/>
      <c r="H84" s="339"/>
    </row>
    <row r="85" spans="1:8" s="3" customFormat="1">
      <c r="A85" s="60" t="s">
        <v>17</v>
      </c>
      <c r="B85" s="321" t="s">
        <v>88</v>
      </c>
      <c r="C85" s="321"/>
      <c r="D85" s="321"/>
      <c r="E85" s="321"/>
      <c r="F85" s="321"/>
      <c r="G85" s="321"/>
      <c r="H85" s="322"/>
    </row>
    <row r="86" spans="1:8">
      <c r="A86" s="112" t="s">
        <v>0</v>
      </c>
      <c r="B86" s="42" t="s">
        <v>149</v>
      </c>
      <c r="C86" s="113"/>
      <c r="D86" s="117"/>
      <c r="E86" s="113"/>
      <c r="F86" s="118"/>
      <c r="G86" s="149">
        <f>((1+1/3)/11)/12</f>
        <v>1.01010101010101E-2</v>
      </c>
      <c r="H86" s="56">
        <f>SUM(H$33+H$74+H$82)*G86</f>
        <v>41.646188100854147</v>
      </c>
    </row>
    <row r="87" spans="1:8" ht="15" customHeight="1">
      <c r="A87" s="112" t="s">
        <v>1</v>
      </c>
      <c r="B87" s="42" t="s">
        <v>89</v>
      </c>
      <c r="C87" s="113"/>
      <c r="D87" s="114"/>
      <c r="E87" s="113"/>
      <c r="F87" s="115"/>
      <c r="G87" s="149">
        <f>(5.96/30)/12</f>
        <v>1.6555555555555556E-2</v>
      </c>
      <c r="H87" s="56">
        <f t="shared" ref="H87:H92" si="2">SUM(H$33+H$74+H$82)*G87</f>
        <v>68.258102297299956</v>
      </c>
    </row>
    <row r="88" spans="1:8">
      <c r="A88" s="112" t="s">
        <v>2</v>
      </c>
      <c r="B88" s="42" t="s">
        <v>90</v>
      </c>
      <c r="C88" s="113"/>
      <c r="D88" s="114"/>
      <c r="E88" s="113"/>
      <c r="F88" s="115"/>
      <c r="G88" s="149">
        <f>((5/30)/12)*0.05</f>
        <v>6.9444444444444447E-4</v>
      </c>
      <c r="H88" s="56">
        <f t="shared" si="2"/>
        <v>2.8631754319337226</v>
      </c>
    </row>
    <row r="89" spans="1:8">
      <c r="A89" s="112" t="s">
        <v>3</v>
      </c>
      <c r="B89" s="42" t="s">
        <v>91</v>
      </c>
      <c r="C89" s="113"/>
      <c r="D89" s="114"/>
      <c r="E89" s="113"/>
      <c r="F89" s="116"/>
      <c r="G89" s="149">
        <f>((15/30)/12)*0.2</f>
        <v>8.3333333333333332E-3</v>
      </c>
      <c r="H89" s="56">
        <f t="shared" si="2"/>
        <v>34.358105183204671</v>
      </c>
    </row>
    <row r="90" spans="1:8">
      <c r="A90" s="112" t="s">
        <v>4</v>
      </c>
      <c r="B90" s="42" t="s">
        <v>92</v>
      </c>
      <c r="C90" s="113"/>
      <c r="D90" s="114"/>
      <c r="E90" s="113"/>
      <c r="F90" s="115"/>
      <c r="G90" s="217">
        <f>((6/12)*11.11%)*0.1</f>
        <v>5.555E-3</v>
      </c>
      <c r="H90" s="56">
        <f t="shared" si="2"/>
        <v>22.903112915124236</v>
      </c>
    </row>
    <row r="91" spans="1:8">
      <c r="A91" s="112" t="s">
        <v>5</v>
      </c>
      <c r="B91" s="42" t="s">
        <v>146</v>
      </c>
      <c r="C91" s="113"/>
      <c r="D91" s="117"/>
      <c r="E91" s="113"/>
      <c r="F91" s="118"/>
      <c r="G91" s="149">
        <f>(5.96/30)/12</f>
        <v>1.6555555555555556E-2</v>
      </c>
      <c r="H91" s="56">
        <f t="shared" si="2"/>
        <v>68.258102297299956</v>
      </c>
    </row>
    <row r="92" spans="1:8">
      <c r="A92" s="112" t="s">
        <v>12</v>
      </c>
      <c r="B92" s="42" t="s">
        <v>6</v>
      </c>
      <c r="C92" s="113"/>
      <c r="D92" s="117"/>
      <c r="E92" s="113"/>
      <c r="F92" s="118"/>
      <c r="G92" s="149">
        <v>0</v>
      </c>
      <c r="H92" s="56">
        <f t="shared" si="2"/>
        <v>0</v>
      </c>
    </row>
    <row r="93" spans="1:8">
      <c r="A93" s="119"/>
      <c r="B93" s="120" t="s">
        <v>16</v>
      </c>
      <c r="C93" s="120"/>
      <c r="D93" s="121"/>
      <c r="E93" s="121"/>
      <c r="F93" s="122"/>
      <c r="G93" s="123">
        <f>SUM(G86:G92)</f>
        <v>5.7794898989898993E-2</v>
      </c>
      <c r="H93" s="124">
        <f>SUM(H86:H92)</f>
        <v>238.2867862257167</v>
      </c>
    </row>
    <row r="94" spans="1:8" ht="15">
      <c r="A94" s="325" t="s">
        <v>237</v>
      </c>
      <c r="B94" s="325"/>
      <c r="C94" s="325"/>
      <c r="D94" s="325"/>
      <c r="E94" s="325"/>
      <c r="F94" s="325"/>
      <c r="G94" s="325"/>
      <c r="H94" s="325"/>
    </row>
    <row r="95" spans="1:8" ht="15.75" customHeight="1">
      <c r="A95" s="326"/>
      <c r="B95" s="326"/>
      <c r="C95" s="326"/>
      <c r="D95" s="326"/>
      <c r="E95" s="326"/>
      <c r="F95" s="326"/>
      <c r="G95" s="326"/>
      <c r="H95" s="326"/>
    </row>
    <row r="96" spans="1:8" s="3" customFormat="1">
      <c r="A96" s="60" t="s">
        <v>18</v>
      </c>
      <c r="B96" s="321" t="s">
        <v>93</v>
      </c>
      <c r="C96" s="321"/>
      <c r="D96" s="321"/>
      <c r="E96" s="321"/>
      <c r="F96" s="321"/>
      <c r="G96" s="321"/>
      <c r="H96" s="322"/>
    </row>
    <row r="97" spans="1:13">
      <c r="A97" s="112" t="s">
        <v>0</v>
      </c>
      <c r="B97" s="42" t="s">
        <v>94</v>
      </c>
      <c r="C97" s="42"/>
      <c r="D97" s="64"/>
      <c r="E97" s="64"/>
      <c r="F97" s="125"/>
      <c r="G97" s="126">
        <f>H97/H33</f>
        <v>0</v>
      </c>
      <c r="H97" s="271">
        <v>0</v>
      </c>
      <c r="I97" s="127"/>
      <c r="K97" s="320"/>
      <c r="L97" s="320"/>
      <c r="M97" s="128"/>
    </row>
    <row r="98" spans="1:13">
      <c r="A98" s="119"/>
      <c r="B98" s="120" t="s">
        <v>16</v>
      </c>
      <c r="C98" s="120"/>
      <c r="D98" s="121"/>
      <c r="E98" s="121"/>
      <c r="F98" s="122"/>
      <c r="G98" s="123">
        <f>G97</f>
        <v>0</v>
      </c>
      <c r="H98" s="124">
        <f>H97</f>
        <v>0</v>
      </c>
    </row>
    <row r="99" spans="1:13" s="3" customFormat="1" ht="18">
      <c r="A99" s="314" t="s">
        <v>95</v>
      </c>
      <c r="B99" s="315"/>
      <c r="C99" s="315"/>
      <c r="D99" s="315"/>
      <c r="E99" s="315"/>
      <c r="F99" s="315"/>
      <c r="G99" s="315"/>
      <c r="H99" s="316"/>
      <c r="K99" s="216"/>
    </row>
    <row r="100" spans="1:13">
      <c r="A100" s="129" t="s">
        <v>17</v>
      </c>
      <c r="B100" s="130" t="s">
        <v>96</v>
      </c>
      <c r="C100" s="130"/>
      <c r="D100" s="131"/>
      <c r="E100" s="131"/>
      <c r="F100" s="131"/>
      <c r="G100" s="132">
        <f>G93</f>
        <v>5.7794898989898993E-2</v>
      </c>
      <c r="H100" s="133">
        <f>H93</f>
        <v>238.2867862257167</v>
      </c>
    </row>
    <row r="101" spans="1:13">
      <c r="A101" s="129" t="s">
        <v>18</v>
      </c>
      <c r="B101" s="130" t="s">
        <v>97</v>
      </c>
      <c r="C101" s="130"/>
      <c r="D101" s="131"/>
      <c r="E101" s="131"/>
      <c r="F101" s="131"/>
      <c r="G101" s="132"/>
      <c r="H101" s="133">
        <f>H98</f>
        <v>0</v>
      </c>
    </row>
    <row r="102" spans="1:13" ht="16.5" thickBot="1">
      <c r="A102" s="134"/>
      <c r="B102" s="135" t="s">
        <v>16</v>
      </c>
      <c r="C102" s="135"/>
      <c r="D102" s="136"/>
      <c r="E102" s="136"/>
      <c r="F102" s="137"/>
      <c r="G102" s="138"/>
      <c r="H102" s="139">
        <f>SUM(H100:H101)</f>
        <v>238.2867862257167</v>
      </c>
    </row>
    <row r="103" spans="1:13" ht="16.5" thickBot="1">
      <c r="A103" s="107"/>
      <c r="B103" s="108"/>
      <c r="C103" s="108"/>
      <c r="D103" s="73"/>
      <c r="E103" s="73"/>
      <c r="F103" s="109"/>
      <c r="G103" s="110"/>
      <c r="H103" s="111"/>
    </row>
    <row r="104" spans="1:13" s="3" customFormat="1" ht="23.25">
      <c r="A104" s="36">
        <v>5</v>
      </c>
      <c r="B104" s="317" t="s">
        <v>21</v>
      </c>
      <c r="C104" s="317"/>
      <c r="D104" s="317"/>
      <c r="E104" s="317"/>
      <c r="F104" s="317"/>
      <c r="G104" s="317"/>
      <c r="H104" s="318"/>
    </row>
    <row r="105" spans="1:13">
      <c r="A105" s="112" t="s">
        <v>0</v>
      </c>
      <c r="B105" s="80" t="s">
        <v>238</v>
      </c>
      <c r="C105" s="80"/>
      <c r="D105" s="140"/>
      <c r="E105" s="39"/>
      <c r="F105" s="141"/>
      <c r="G105" s="141"/>
      <c r="H105" s="141">
        <f>'UNIFORME PORTEIRO 5X2 '!F14</f>
        <v>71.416666666666671</v>
      </c>
      <c r="I105" s="127"/>
    </row>
    <row r="106" spans="1:13">
      <c r="A106" s="112" t="s">
        <v>1</v>
      </c>
      <c r="B106" s="80" t="s">
        <v>98</v>
      </c>
      <c r="C106" s="80"/>
      <c r="D106" s="140"/>
      <c r="E106" s="39"/>
      <c r="F106" s="141"/>
      <c r="G106" s="141"/>
      <c r="H106" s="141">
        <f>'EQUIPAMENTOS PORTEIRO 5X2'!F8</f>
        <v>33.966666666666661</v>
      </c>
      <c r="I106" s="127"/>
    </row>
    <row r="107" spans="1:13">
      <c r="A107" s="112" t="s">
        <v>2</v>
      </c>
      <c r="B107" s="80" t="s">
        <v>239</v>
      </c>
      <c r="C107" s="80"/>
      <c r="D107" s="140"/>
      <c r="E107" s="39"/>
      <c r="F107" s="141"/>
      <c r="G107" s="141"/>
      <c r="H107" s="141"/>
      <c r="I107" s="127"/>
    </row>
    <row r="108" spans="1:13">
      <c r="A108" s="112" t="s">
        <v>3</v>
      </c>
      <c r="B108" s="80" t="s">
        <v>6</v>
      </c>
      <c r="C108" s="80"/>
      <c r="D108" s="140"/>
      <c r="E108" s="39"/>
      <c r="F108" s="141"/>
      <c r="G108" s="141"/>
      <c r="H108" s="142"/>
    </row>
    <row r="109" spans="1:13" ht="16.5" thickBot="1">
      <c r="A109" s="101"/>
      <c r="B109" s="102" t="s">
        <v>16</v>
      </c>
      <c r="C109" s="102"/>
      <c r="D109" s="103"/>
      <c r="E109" s="103"/>
      <c r="F109" s="104"/>
      <c r="G109" s="105"/>
      <c r="H109" s="106">
        <f>SUM(H105:H108)</f>
        <v>105.38333333333333</v>
      </c>
    </row>
    <row r="110" spans="1:13" thickBot="1">
      <c r="A110" s="319" t="s">
        <v>99</v>
      </c>
      <c r="B110" s="319"/>
      <c r="C110" s="319"/>
      <c r="D110" s="319"/>
      <c r="E110" s="319"/>
      <c r="F110" s="319"/>
      <c r="G110" s="319"/>
      <c r="H110" s="319"/>
    </row>
    <row r="111" spans="1:13" s="3" customFormat="1" ht="23.25">
      <c r="A111" s="36">
        <v>6</v>
      </c>
      <c r="B111" s="317" t="s">
        <v>100</v>
      </c>
      <c r="C111" s="317"/>
      <c r="D111" s="317"/>
      <c r="E111" s="317"/>
      <c r="F111" s="317"/>
      <c r="G111" s="317"/>
      <c r="H111" s="318"/>
    </row>
    <row r="112" spans="1:13">
      <c r="A112" s="143" t="s">
        <v>0</v>
      </c>
      <c r="B112" s="39" t="s">
        <v>19</v>
      </c>
      <c r="C112" s="39"/>
      <c r="D112" s="39"/>
      <c r="E112" s="39"/>
      <c r="F112" s="144" t="s">
        <v>19</v>
      </c>
      <c r="G112" s="145">
        <v>0.13482</v>
      </c>
      <c r="H112" s="56">
        <f>G112*H129</f>
        <v>602.19277441490954</v>
      </c>
      <c r="I112" s="146"/>
    </row>
    <row r="113" spans="1:9">
      <c r="A113" s="143" t="s">
        <v>1</v>
      </c>
      <c r="B113" s="39" t="s">
        <v>101</v>
      </c>
      <c r="C113" s="39"/>
      <c r="D113" s="39"/>
      <c r="E113" s="39"/>
      <c r="F113" s="72" t="s">
        <v>101</v>
      </c>
      <c r="G113" s="145">
        <v>0.1</v>
      </c>
      <c r="H113" s="56">
        <f>SUM(H112+H129)*$G$113</f>
        <v>506.883551595852</v>
      </c>
    </row>
    <row r="114" spans="1:9">
      <c r="A114" s="143" t="s">
        <v>2</v>
      </c>
      <c r="B114" s="39" t="s">
        <v>20</v>
      </c>
      <c r="C114" s="39"/>
      <c r="D114" s="39"/>
      <c r="E114" s="39"/>
      <c r="F114" s="147"/>
      <c r="G114" s="147"/>
      <c r="H114" s="56"/>
    </row>
    <row r="115" spans="1:9">
      <c r="A115" s="143" t="s">
        <v>102</v>
      </c>
      <c r="B115" s="148" t="s">
        <v>103</v>
      </c>
      <c r="C115" s="39"/>
      <c r="D115" s="39"/>
      <c r="E115" s="39"/>
      <c r="F115" s="72" t="s">
        <v>104</v>
      </c>
      <c r="G115" s="145">
        <v>1.6500000000000001E-2</v>
      </c>
      <c r="H115" s="56">
        <f>$H$131*G115</f>
        <v>104.24857180129986</v>
      </c>
    </row>
    <row r="116" spans="1:9">
      <c r="A116" s="143" t="s">
        <v>105</v>
      </c>
      <c r="B116" s="148" t="s">
        <v>103</v>
      </c>
      <c r="C116" s="39"/>
      <c r="D116" s="39"/>
      <c r="E116" s="39"/>
      <c r="F116" s="72" t="s">
        <v>106</v>
      </c>
      <c r="G116" s="145">
        <v>7.5999999999999998E-2</v>
      </c>
      <c r="H116" s="56">
        <f>$H$131*G116</f>
        <v>480.17523981204778</v>
      </c>
      <c r="I116" s="146"/>
    </row>
    <row r="117" spans="1:9">
      <c r="A117" s="143" t="s">
        <v>107</v>
      </c>
      <c r="B117" s="59"/>
      <c r="C117" s="39"/>
      <c r="D117" s="39"/>
      <c r="E117" s="39"/>
      <c r="F117" s="69"/>
      <c r="G117" s="69"/>
      <c r="H117" s="67"/>
    </row>
    <row r="118" spans="1:9">
      <c r="A118" s="143" t="s">
        <v>108</v>
      </c>
      <c r="B118" s="148" t="s">
        <v>109</v>
      </c>
      <c r="C118" s="39"/>
      <c r="D118" s="39"/>
      <c r="E118" s="39"/>
      <c r="F118" s="72" t="s">
        <v>110</v>
      </c>
      <c r="G118" s="149">
        <v>2.5000000000000001E-2</v>
      </c>
      <c r="H118" s="56">
        <f>$H$131*G118</f>
        <v>157.95238151712101</v>
      </c>
    </row>
    <row r="119" spans="1:9">
      <c r="A119" s="143" t="s">
        <v>111</v>
      </c>
      <c r="B119" s="39"/>
      <c r="C119" s="39"/>
      <c r="D119" s="39"/>
      <c r="E119" s="39"/>
      <c r="F119" s="150" t="s">
        <v>112</v>
      </c>
      <c r="G119" s="151">
        <f>SUM(G115:G118)</f>
        <v>0.11749999999999999</v>
      </c>
      <c r="H119" s="67"/>
    </row>
    <row r="120" spans="1:9" ht="16.5" thickBot="1">
      <c r="A120" s="101"/>
      <c r="B120" s="102" t="s">
        <v>113</v>
      </c>
      <c r="C120" s="102"/>
      <c r="D120" s="103"/>
      <c r="E120" s="103"/>
      <c r="F120" s="104"/>
      <c r="G120" s="105">
        <f>G112+G113+G119</f>
        <v>0.35231999999999997</v>
      </c>
      <c r="H120" s="106">
        <f>SUM(H112:H118)</f>
        <v>1851.4525191412301</v>
      </c>
    </row>
    <row r="121" spans="1:9" ht="15">
      <c r="A121" s="319" t="s">
        <v>114</v>
      </c>
      <c r="B121" s="319"/>
      <c r="C121" s="319"/>
      <c r="D121" s="319"/>
      <c r="E121" s="319"/>
      <c r="F121" s="319"/>
      <c r="G121" s="319"/>
      <c r="H121" s="319"/>
      <c r="I121" s="152"/>
    </row>
    <row r="122" spans="1:9" thickBot="1">
      <c r="A122" s="319" t="s">
        <v>115</v>
      </c>
      <c r="B122" s="319"/>
      <c r="C122" s="319"/>
      <c r="D122" s="319"/>
      <c r="E122" s="319"/>
      <c r="F122" s="319"/>
      <c r="G122" s="319"/>
      <c r="H122" s="319"/>
    </row>
    <row r="123" spans="1:9" s="3" customFormat="1">
      <c r="A123" s="153"/>
      <c r="B123" s="335" t="s">
        <v>116</v>
      </c>
      <c r="C123" s="335"/>
      <c r="D123" s="335"/>
      <c r="E123" s="335"/>
      <c r="F123" s="335"/>
      <c r="G123" s="335"/>
      <c r="H123" s="336"/>
    </row>
    <row r="124" spans="1:9">
      <c r="A124" s="154" t="s">
        <v>0</v>
      </c>
      <c r="B124" s="155" t="s">
        <v>117</v>
      </c>
      <c r="C124" s="155"/>
      <c r="D124" s="155"/>
      <c r="E124" s="155"/>
      <c r="F124" s="156"/>
      <c r="G124" s="157"/>
      <c r="H124" s="158">
        <f>SUM(H33)</f>
        <v>2073.86</v>
      </c>
    </row>
    <row r="125" spans="1:9">
      <c r="A125" s="154" t="s">
        <v>1</v>
      </c>
      <c r="B125" s="155" t="s">
        <v>118</v>
      </c>
      <c r="C125" s="155"/>
      <c r="D125" s="155"/>
      <c r="E125" s="155"/>
      <c r="F125" s="156"/>
      <c r="G125" s="157"/>
      <c r="H125" s="158">
        <f>H74</f>
        <v>1901.7325250640001</v>
      </c>
    </row>
    <row r="126" spans="1:9">
      <c r="A126" s="154" t="s">
        <v>2</v>
      </c>
      <c r="B126" s="155" t="s">
        <v>119</v>
      </c>
      <c r="C126" s="155"/>
      <c r="D126" s="155"/>
      <c r="E126" s="155"/>
      <c r="F126" s="156"/>
      <c r="G126" s="157"/>
      <c r="H126" s="158">
        <f>H82</f>
        <v>147.38009692055999</v>
      </c>
    </row>
    <row r="127" spans="1:9">
      <c r="A127" s="154" t="s">
        <v>3</v>
      </c>
      <c r="B127" s="155" t="s">
        <v>120</v>
      </c>
      <c r="C127" s="155"/>
      <c r="D127" s="155"/>
      <c r="E127" s="155"/>
      <c r="F127" s="156"/>
      <c r="G127" s="157"/>
      <c r="H127" s="158">
        <f>H102</f>
        <v>238.2867862257167</v>
      </c>
    </row>
    <row r="128" spans="1:9">
      <c r="A128" s="154" t="s">
        <v>4</v>
      </c>
      <c r="B128" s="155" t="s">
        <v>21</v>
      </c>
      <c r="C128" s="155"/>
      <c r="D128" s="155"/>
      <c r="E128" s="155"/>
      <c r="F128" s="156"/>
      <c r="G128" s="157"/>
      <c r="H128" s="158">
        <f>H109</f>
        <v>105.38333333333333</v>
      </c>
    </row>
    <row r="129" spans="1:11">
      <c r="A129" s="154"/>
      <c r="B129" s="159" t="s">
        <v>121</v>
      </c>
      <c r="C129" s="159"/>
      <c r="D129" s="159"/>
      <c r="E129" s="159"/>
      <c r="F129" s="160"/>
      <c r="G129" s="161"/>
      <c r="H129" s="162">
        <f>SUM(H124:H128)</f>
        <v>4466.6427415436101</v>
      </c>
      <c r="I129" s="163"/>
      <c r="K129" s="163"/>
    </row>
    <row r="130" spans="1:11">
      <c r="A130" s="154" t="s">
        <v>4</v>
      </c>
      <c r="B130" s="155" t="s">
        <v>122</v>
      </c>
      <c r="C130" s="155"/>
      <c r="D130" s="155"/>
      <c r="E130" s="155"/>
      <c r="F130" s="156"/>
      <c r="G130" s="164"/>
      <c r="H130" s="158">
        <f>H120</f>
        <v>1851.4525191412301</v>
      </c>
      <c r="K130" s="1"/>
    </row>
    <row r="131" spans="1:11" ht="16.5" thickBot="1">
      <c r="A131" s="165"/>
      <c r="B131" s="102" t="s">
        <v>123</v>
      </c>
      <c r="C131" s="102"/>
      <c r="D131" s="102"/>
      <c r="E131" s="102"/>
      <c r="F131" s="102"/>
      <c r="G131" s="166"/>
      <c r="H131" s="167">
        <f>(H129+H112+H113)/(1-G119)</f>
        <v>6318.0952606848396</v>
      </c>
      <c r="K131" s="2"/>
    </row>
    <row r="132" spans="1:11" ht="16.5" thickBot="1">
      <c r="A132" s="168"/>
      <c r="B132" s="108"/>
      <c r="C132" s="108"/>
      <c r="D132" s="108"/>
      <c r="E132" s="108"/>
      <c r="F132" s="108"/>
      <c r="G132" s="169"/>
      <c r="H132" s="170"/>
      <c r="K132" s="2"/>
    </row>
    <row r="133" spans="1:11" s="3" customFormat="1">
      <c r="A133" s="153"/>
      <c r="B133" s="335" t="s">
        <v>124</v>
      </c>
      <c r="C133" s="335"/>
      <c r="D133" s="335"/>
      <c r="E133" s="335"/>
      <c r="F133" s="335"/>
      <c r="G133" s="335"/>
      <c r="H133" s="336"/>
    </row>
    <row r="134" spans="1:11" ht="54.75" customHeight="1">
      <c r="A134" s="171"/>
      <c r="B134" s="172" t="s">
        <v>37</v>
      </c>
      <c r="C134" s="172"/>
      <c r="D134" s="173" t="s">
        <v>125</v>
      </c>
      <c r="E134" s="173" t="s">
        <v>126</v>
      </c>
      <c r="F134" s="174" t="s">
        <v>127</v>
      </c>
      <c r="G134" s="173" t="s">
        <v>128</v>
      </c>
      <c r="H134" s="175" t="s">
        <v>129</v>
      </c>
    </row>
    <row r="135" spans="1:11" ht="16.5" thickBot="1">
      <c r="A135" s="171"/>
      <c r="B135" s="176" t="s">
        <v>130</v>
      </c>
      <c r="C135" s="176"/>
      <c r="D135" s="176" t="s">
        <v>131</v>
      </c>
      <c r="E135" s="177" t="s">
        <v>132</v>
      </c>
      <c r="F135" s="178" t="s">
        <v>133</v>
      </c>
      <c r="G135" s="176" t="s">
        <v>134</v>
      </c>
      <c r="H135" s="179" t="s">
        <v>135</v>
      </c>
    </row>
    <row r="136" spans="1:11" ht="16.5" thickBot="1">
      <c r="A136" s="180"/>
      <c r="B136" s="181"/>
      <c r="C136" s="181"/>
      <c r="D136" s="182">
        <f>SUM(H131)</f>
        <v>6318.0952606848396</v>
      </c>
      <c r="E136" s="183">
        <v>1</v>
      </c>
      <c r="F136" s="182">
        <f>D136*E136</f>
        <v>6318.0952606848396</v>
      </c>
      <c r="G136" s="220">
        <f>E14</f>
        <v>1</v>
      </c>
      <c r="H136" s="213">
        <f>G136*F136</f>
        <v>6318.0952606848396</v>
      </c>
    </row>
    <row r="137" spans="1:11" ht="16.5" thickBot="1">
      <c r="A137" s="184"/>
      <c r="B137" s="185" t="s">
        <v>136</v>
      </c>
      <c r="C137" s="185"/>
      <c r="D137" s="186"/>
      <c r="E137" s="186"/>
      <c r="F137" s="186"/>
      <c r="G137" s="186"/>
      <c r="H137" s="187">
        <f>SUM(H136)</f>
        <v>6318.0952606848396</v>
      </c>
    </row>
    <row r="138" spans="1:11" ht="16.5" thickBot="1">
      <c r="A138" s="188"/>
      <c r="B138" s="189"/>
      <c r="C138" s="189"/>
      <c r="D138" s="190"/>
      <c r="E138" s="189"/>
      <c r="F138" s="189"/>
      <c r="G138" s="189"/>
      <c r="H138" s="189"/>
    </row>
    <row r="139" spans="1:11" s="3" customFormat="1">
      <c r="A139" s="153"/>
      <c r="B139" s="335" t="s">
        <v>137</v>
      </c>
      <c r="C139" s="335"/>
      <c r="D139" s="335"/>
      <c r="E139" s="335"/>
      <c r="F139" s="335"/>
      <c r="G139" s="335"/>
      <c r="H139" s="336"/>
    </row>
    <row r="140" spans="1:11">
      <c r="A140" s="191"/>
      <c r="B140" s="192" t="s">
        <v>23</v>
      </c>
      <c r="C140" s="192"/>
      <c r="D140" s="192"/>
      <c r="E140" s="172"/>
      <c r="F140" s="172"/>
      <c r="G140" s="172"/>
      <c r="H140" s="193" t="s">
        <v>138</v>
      </c>
    </row>
    <row r="141" spans="1:11">
      <c r="A141" s="194" t="s">
        <v>0</v>
      </c>
      <c r="B141" s="195" t="s">
        <v>139</v>
      </c>
      <c r="C141" s="195"/>
      <c r="D141" s="195"/>
      <c r="E141" s="196"/>
      <c r="F141" s="196"/>
      <c r="G141" s="196"/>
      <c r="H141" s="193">
        <f>D136</f>
        <v>6318.0952606848396</v>
      </c>
    </row>
    <row r="142" spans="1:11" ht="16.5" thickBot="1">
      <c r="A142" s="194" t="s">
        <v>1</v>
      </c>
      <c r="B142" s="195" t="s">
        <v>140</v>
      </c>
      <c r="C142" s="195"/>
      <c r="D142" s="195"/>
      <c r="E142" s="196"/>
      <c r="F142" s="196"/>
      <c r="G142" s="196"/>
      <c r="H142" s="193">
        <f>H137</f>
        <v>6318.0952606848396</v>
      </c>
      <c r="I142" s="2"/>
      <c r="K142" s="2"/>
    </row>
    <row r="143" spans="1:11" ht="16.5" thickBot="1">
      <c r="A143" s="197" t="s">
        <v>3</v>
      </c>
      <c r="B143" s="198" t="s">
        <v>141</v>
      </c>
      <c r="C143" s="198"/>
      <c r="D143" s="199"/>
      <c r="E143" s="200"/>
      <c r="F143" s="200"/>
      <c r="G143" s="183">
        <v>12</v>
      </c>
      <c r="H143" s="201">
        <f>SUM(H142*G143)</f>
        <v>75817.143128218071</v>
      </c>
    </row>
    <row r="144" spans="1:11" ht="15">
      <c r="A144" s="319" t="s">
        <v>142</v>
      </c>
      <c r="B144" s="319"/>
      <c r="C144" s="319"/>
      <c r="D144" s="319"/>
      <c r="E144" s="319"/>
      <c r="F144" s="319"/>
      <c r="G144" s="319"/>
      <c r="H144" s="319"/>
    </row>
    <row r="145" spans="1:8">
      <c r="A145" s="221" t="s">
        <v>143</v>
      </c>
      <c r="B145" s="222" t="s">
        <v>144</v>
      </c>
      <c r="G145" s="203" t="s">
        <v>240</v>
      </c>
      <c r="H145" s="272">
        <f>H142/H33</f>
        <v>3.0465389470286515</v>
      </c>
    </row>
    <row r="146" spans="1:8">
      <c r="A146" s="202" t="s">
        <v>143</v>
      </c>
      <c r="B146" s="203" t="s">
        <v>145</v>
      </c>
    </row>
    <row r="147" spans="1:8">
      <c r="H147" s="273"/>
    </row>
  </sheetData>
  <mergeCells count="64">
    <mergeCell ref="B85:H85"/>
    <mergeCell ref="B111:H111"/>
    <mergeCell ref="A110:H110"/>
    <mergeCell ref="A121:H121"/>
    <mergeCell ref="A122:H122"/>
    <mergeCell ref="B25:H25"/>
    <mergeCell ref="A34:H34"/>
    <mergeCell ref="B35:H35"/>
    <mergeCell ref="B36:H36"/>
    <mergeCell ref="A40:H40"/>
    <mergeCell ref="A18:H18"/>
    <mergeCell ref="A7:H7"/>
    <mergeCell ref="C8:D8"/>
    <mergeCell ref="C9:D9"/>
    <mergeCell ref="C11:D11"/>
    <mergeCell ref="A12:H12"/>
    <mergeCell ref="E13:G13"/>
    <mergeCell ref="E14:G14"/>
    <mergeCell ref="E15:H15"/>
    <mergeCell ref="E16:H16"/>
    <mergeCell ref="B17:H17"/>
    <mergeCell ref="C10:E10"/>
    <mergeCell ref="A1:H1"/>
    <mergeCell ref="A2:H2"/>
    <mergeCell ref="A3:H3"/>
    <mergeCell ref="C4:D4"/>
    <mergeCell ref="E4:H6"/>
    <mergeCell ref="C5:D5"/>
    <mergeCell ref="B41:H41"/>
    <mergeCell ref="A51:H51"/>
    <mergeCell ref="A52:H52"/>
    <mergeCell ref="A53:H53"/>
    <mergeCell ref="B54:H54"/>
    <mergeCell ref="A56:A58"/>
    <mergeCell ref="D56:D57"/>
    <mergeCell ref="E56:E57"/>
    <mergeCell ref="F56:F57"/>
    <mergeCell ref="G56:G57"/>
    <mergeCell ref="A59:A61"/>
    <mergeCell ref="D59:D60"/>
    <mergeCell ref="E59:E60"/>
    <mergeCell ref="F59:F60"/>
    <mergeCell ref="G59:G60"/>
    <mergeCell ref="B62:E62"/>
    <mergeCell ref="B63:E63"/>
    <mergeCell ref="B64:E64"/>
    <mergeCell ref="B65:E65"/>
    <mergeCell ref="A68:H68"/>
    <mergeCell ref="B66:E66"/>
    <mergeCell ref="B67:E67"/>
    <mergeCell ref="A69:H69"/>
    <mergeCell ref="A70:H70"/>
    <mergeCell ref="B76:H76"/>
    <mergeCell ref="C81:D81"/>
    <mergeCell ref="B84:H84"/>
    <mergeCell ref="B139:H139"/>
    <mergeCell ref="A144:H144"/>
    <mergeCell ref="A94:H95"/>
    <mergeCell ref="B96:H96"/>
    <mergeCell ref="K97:L97"/>
    <mergeCell ref="A99:H99"/>
    <mergeCell ref="B104:H104"/>
    <mergeCell ref="B123:H123"/>
    <mergeCell ref="B133:H133"/>
  </mergeCells>
  <dataValidations count="3">
    <dataValidation operator="equal" allowBlank="1" showErrorMessage="1" promptTitle="Percentual" sqref="E29"/>
    <dataValidation type="list" operator="equal" allowBlank="1" showErrorMessage="1" sqref="D29">
      <formula1>$J$27:$J$31</formula1>
      <formula2>0</formula2>
    </dataValidation>
    <dataValidation operator="equal" allowBlank="1" showErrorMessage="1" sqref="E27"/>
  </dataValidations>
  <pageMargins left="0.98425196850393704" right="0.59055118110236227" top="1.3779527559055118" bottom="0.59055118110236227" header="0.31496062992125984" footer="0.31496062992125984"/>
  <pageSetup paperSize="9" scale="4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F20" sqref="F20"/>
    </sheetView>
  </sheetViews>
  <sheetFormatPr defaultRowHeight="15"/>
  <cols>
    <col min="2" max="2" width="21.85546875" customWidth="1"/>
    <col min="3" max="3" width="14.7109375" customWidth="1"/>
    <col min="4" max="4" width="10.140625" customWidth="1"/>
    <col min="5" max="5" width="12.85546875" customWidth="1"/>
    <col min="6" max="6" width="16" customWidth="1"/>
  </cols>
  <sheetData>
    <row r="2" spans="1:6" ht="15" customHeight="1">
      <c r="A2" s="369" t="s">
        <v>211</v>
      </c>
      <c r="B2" s="370"/>
      <c r="C2" s="370"/>
      <c r="D2" s="370"/>
      <c r="E2" s="370"/>
      <c r="F2" s="370"/>
    </row>
    <row r="3" spans="1:6" ht="24">
      <c r="A3" s="231" t="s">
        <v>151</v>
      </c>
      <c r="B3" s="230" t="s">
        <v>152</v>
      </c>
      <c r="C3" s="225" t="s">
        <v>212</v>
      </c>
      <c r="D3" s="225" t="s">
        <v>150</v>
      </c>
      <c r="E3" s="225" t="s">
        <v>155</v>
      </c>
      <c r="F3" s="225" t="s">
        <v>170</v>
      </c>
    </row>
    <row r="4" spans="1:6">
      <c r="A4" s="226" t="s">
        <v>156</v>
      </c>
      <c r="B4" s="227" t="s">
        <v>153</v>
      </c>
      <c r="C4" s="232" t="s">
        <v>157</v>
      </c>
      <c r="D4" s="228">
        <v>12</v>
      </c>
      <c r="E4" s="229">
        <v>70</v>
      </c>
      <c r="F4" s="229">
        <f>E4*C4</f>
        <v>140</v>
      </c>
    </row>
    <row r="5" spans="1:6">
      <c r="A5" s="226" t="s">
        <v>157</v>
      </c>
      <c r="B5" s="227" t="s">
        <v>165</v>
      </c>
      <c r="C5" s="232" t="s">
        <v>158</v>
      </c>
      <c r="D5" s="228">
        <v>12</v>
      </c>
      <c r="E5" s="229">
        <v>40</v>
      </c>
      <c r="F5" s="229">
        <f t="shared" ref="F5:F12" si="0">E5*C5</f>
        <v>120</v>
      </c>
    </row>
    <row r="6" spans="1:6">
      <c r="A6" s="226" t="s">
        <v>158</v>
      </c>
      <c r="B6" s="227" t="s">
        <v>166</v>
      </c>
      <c r="C6" s="232" t="s">
        <v>158</v>
      </c>
      <c r="D6" s="228">
        <v>12</v>
      </c>
      <c r="E6" s="229">
        <v>40</v>
      </c>
      <c r="F6" s="229">
        <f t="shared" si="0"/>
        <v>120</v>
      </c>
    </row>
    <row r="7" spans="1:6" ht="15.75" customHeight="1">
      <c r="A7" s="226" t="s">
        <v>159</v>
      </c>
      <c r="B7" s="227" t="s">
        <v>167</v>
      </c>
      <c r="C7" s="232" t="s">
        <v>158</v>
      </c>
      <c r="D7" s="228">
        <v>12</v>
      </c>
      <c r="E7" s="229">
        <v>45</v>
      </c>
      <c r="F7" s="229">
        <f t="shared" si="0"/>
        <v>135</v>
      </c>
    </row>
    <row r="8" spans="1:6">
      <c r="A8" s="226" t="s">
        <v>160</v>
      </c>
      <c r="B8" s="227" t="s">
        <v>168</v>
      </c>
      <c r="C8" s="232" t="s">
        <v>157</v>
      </c>
      <c r="D8" s="228">
        <v>12</v>
      </c>
      <c r="E8" s="229">
        <v>15</v>
      </c>
      <c r="F8" s="229">
        <f t="shared" si="0"/>
        <v>30</v>
      </c>
    </row>
    <row r="9" spans="1:6">
      <c r="A9" s="226" t="s">
        <v>161</v>
      </c>
      <c r="B9" s="227" t="s">
        <v>171</v>
      </c>
      <c r="C9" s="232" t="s">
        <v>161</v>
      </c>
      <c r="D9" s="228">
        <v>12</v>
      </c>
      <c r="E9" s="229">
        <v>10</v>
      </c>
      <c r="F9" s="229">
        <f t="shared" si="0"/>
        <v>60</v>
      </c>
    </row>
    <row r="10" spans="1:6">
      <c r="A10" s="226" t="s">
        <v>162</v>
      </c>
      <c r="B10" s="227" t="s">
        <v>172</v>
      </c>
      <c r="C10" s="232" t="s">
        <v>157</v>
      </c>
      <c r="D10" s="228">
        <v>12</v>
      </c>
      <c r="E10" s="229">
        <v>50</v>
      </c>
      <c r="F10" s="229">
        <f t="shared" si="0"/>
        <v>100</v>
      </c>
    </row>
    <row r="11" spans="1:6">
      <c r="A11" s="226" t="s">
        <v>163</v>
      </c>
      <c r="B11" s="227" t="s">
        <v>154</v>
      </c>
      <c r="C11" s="232" t="s">
        <v>156</v>
      </c>
      <c r="D11" s="228">
        <v>12</v>
      </c>
      <c r="E11" s="229">
        <v>10</v>
      </c>
      <c r="F11" s="229">
        <f t="shared" si="0"/>
        <v>10</v>
      </c>
    </row>
    <row r="12" spans="1:6">
      <c r="A12" s="226" t="s">
        <v>164</v>
      </c>
      <c r="B12" s="227" t="s">
        <v>169</v>
      </c>
      <c r="C12" s="232" t="s">
        <v>156</v>
      </c>
      <c r="D12" s="228">
        <v>12</v>
      </c>
      <c r="E12" s="229">
        <v>12</v>
      </c>
      <c r="F12" s="229">
        <f t="shared" si="0"/>
        <v>12</v>
      </c>
    </row>
    <row r="13" spans="1:6" ht="15" customHeight="1">
      <c r="A13" s="366" t="s">
        <v>213</v>
      </c>
      <c r="B13" s="367"/>
      <c r="C13" s="367"/>
      <c r="D13" s="367"/>
      <c r="E13" s="368"/>
      <c r="F13" s="233">
        <f>SUM(F4:F12)</f>
        <v>727</v>
      </c>
    </row>
    <row r="14" spans="1:6">
      <c r="A14" s="371" t="s">
        <v>214</v>
      </c>
      <c r="B14" s="371"/>
      <c r="C14" s="371"/>
      <c r="D14" s="371"/>
      <c r="E14" s="371"/>
      <c r="F14" s="234">
        <f>F13/12</f>
        <v>60.583333333333336</v>
      </c>
    </row>
  </sheetData>
  <mergeCells count="3">
    <mergeCell ref="A13:E13"/>
    <mergeCell ref="A2:F2"/>
    <mergeCell ref="A14:E14"/>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F14" sqref="F14"/>
    </sheetView>
  </sheetViews>
  <sheetFormatPr defaultRowHeight="15"/>
  <cols>
    <col min="2" max="2" width="21.85546875" customWidth="1"/>
    <col min="3" max="3" width="14.140625" customWidth="1"/>
    <col min="4" max="4" width="10.140625" customWidth="1"/>
    <col min="5" max="5" width="12.85546875" customWidth="1"/>
    <col min="6" max="6" width="16" customWidth="1"/>
  </cols>
  <sheetData>
    <row r="2" spans="1:6" ht="15" customHeight="1">
      <c r="A2" s="369" t="s">
        <v>201</v>
      </c>
      <c r="B2" s="370"/>
      <c r="C2" s="370"/>
      <c r="D2" s="370"/>
      <c r="E2" s="370"/>
      <c r="F2" s="370"/>
    </row>
    <row r="3" spans="1:6" ht="24">
      <c r="A3" s="231" t="s">
        <v>151</v>
      </c>
      <c r="B3" s="230" t="s">
        <v>152</v>
      </c>
      <c r="C3" s="225" t="s">
        <v>202</v>
      </c>
      <c r="D3" s="225" t="s">
        <v>150</v>
      </c>
      <c r="E3" s="225" t="s">
        <v>155</v>
      </c>
      <c r="F3" s="225" t="s">
        <v>170</v>
      </c>
    </row>
    <row r="4" spans="1:6">
      <c r="A4" s="226" t="s">
        <v>156</v>
      </c>
      <c r="B4" s="227" t="s">
        <v>153</v>
      </c>
      <c r="C4" s="232" t="s">
        <v>157</v>
      </c>
      <c r="D4" s="228">
        <v>12</v>
      </c>
      <c r="E4" s="229">
        <v>70</v>
      </c>
      <c r="F4" s="229">
        <f>E4*C4</f>
        <v>140</v>
      </c>
    </row>
    <row r="5" spans="1:6">
      <c r="A5" s="226" t="s">
        <v>157</v>
      </c>
      <c r="B5" s="246" t="s">
        <v>203</v>
      </c>
      <c r="C5" s="238" t="s">
        <v>157</v>
      </c>
      <c r="D5" s="228">
        <v>12</v>
      </c>
      <c r="E5" s="229">
        <v>70</v>
      </c>
      <c r="F5" s="229">
        <f t="shared" ref="F5:F12" si="0">E5*C5</f>
        <v>140</v>
      </c>
    </row>
    <row r="6" spans="1:6">
      <c r="A6" s="226" t="s">
        <v>158</v>
      </c>
      <c r="B6" s="227" t="s">
        <v>165</v>
      </c>
      <c r="C6" s="232" t="s">
        <v>158</v>
      </c>
      <c r="D6" s="228">
        <v>12</v>
      </c>
      <c r="E6" s="229">
        <v>40</v>
      </c>
      <c r="F6" s="229">
        <f t="shared" si="0"/>
        <v>120</v>
      </c>
    </row>
    <row r="7" spans="1:6" ht="14.25" customHeight="1">
      <c r="A7" s="226" t="s">
        <v>159</v>
      </c>
      <c r="B7" s="227" t="s">
        <v>166</v>
      </c>
      <c r="C7" s="232" t="s">
        <v>158</v>
      </c>
      <c r="D7" s="228">
        <v>12</v>
      </c>
      <c r="E7" s="229">
        <v>40</v>
      </c>
      <c r="F7" s="229">
        <f t="shared" si="0"/>
        <v>120</v>
      </c>
    </row>
    <row r="8" spans="1:6" ht="15.75" customHeight="1">
      <c r="A8" s="226" t="s">
        <v>160</v>
      </c>
      <c r="B8" s="227" t="s">
        <v>167</v>
      </c>
      <c r="C8" s="232" t="s">
        <v>158</v>
      </c>
      <c r="D8" s="228">
        <v>12</v>
      </c>
      <c r="E8" s="229">
        <v>45</v>
      </c>
      <c r="F8" s="229">
        <f t="shared" si="0"/>
        <v>135</v>
      </c>
    </row>
    <row r="9" spans="1:6">
      <c r="A9" s="226" t="s">
        <v>161</v>
      </c>
      <c r="B9" s="227" t="s">
        <v>168</v>
      </c>
      <c r="C9" s="232" t="s">
        <v>157</v>
      </c>
      <c r="D9" s="228">
        <v>12</v>
      </c>
      <c r="E9" s="229">
        <v>15</v>
      </c>
      <c r="F9" s="229">
        <f t="shared" si="0"/>
        <v>30</v>
      </c>
    </row>
    <row r="10" spans="1:6">
      <c r="A10" s="226" t="s">
        <v>162</v>
      </c>
      <c r="B10" s="227" t="s">
        <v>171</v>
      </c>
      <c r="C10" s="232" t="s">
        <v>161</v>
      </c>
      <c r="D10" s="228">
        <v>12</v>
      </c>
      <c r="E10" s="229">
        <v>10</v>
      </c>
      <c r="F10" s="229">
        <f t="shared" si="0"/>
        <v>60</v>
      </c>
    </row>
    <row r="11" spans="1:6">
      <c r="A11" s="226" t="s">
        <v>163</v>
      </c>
      <c r="B11" s="227" t="s">
        <v>204</v>
      </c>
      <c r="C11" s="232" t="s">
        <v>157</v>
      </c>
      <c r="D11" s="228">
        <v>12</v>
      </c>
      <c r="E11" s="229">
        <v>50</v>
      </c>
      <c r="F11" s="229">
        <f t="shared" si="0"/>
        <v>100</v>
      </c>
    </row>
    <row r="12" spans="1:6">
      <c r="A12" s="226" t="s">
        <v>164</v>
      </c>
      <c r="B12" s="227" t="s">
        <v>169</v>
      </c>
      <c r="C12" s="232" t="s">
        <v>156</v>
      </c>
      <c r="D12" s="228">
        <v>12</v>
      </c>
      <c r="E12" s="229">
        <v>12</v>
      </c>
      <c r="F12" s="229">
        <f t="shared" si="0"/>
        <v>12</v>
      </c>
    </row>
    <row r="13" spans="1:6" ht="15" customHeight="1">
      <c r="A13" s="366" t="s">
        <v>205</v>
      </c>
      <c r="B13" s="367"/>
      <c r="C13" s="367"/>
      <c r="D13" s="367"/>
      <c r="E13" s="368"/>
      <c r="F13" s="233">
        <f>SUM(F4:F12)</f>
        <v>857</v>
      </c>
    </row>
    <row r="14" spans="1:6">
      <c r="A14" s="371" t="s">
        <v>206</v>
      </c>
      <c r="B14" s="371"/>
      <c r="C14" s="371"/>
      <c r="D14" s="371"/>
      <c r="E14" s="371"/>
      <c r="F14" s="274">
        <f>F13/12</f>
        <v>71.416666666666671</v>
      </c>
    </row>
  </sheetData>
  <mergeCells count="3">
    <mergeCell ref="A2:F2"/>
    <mergeCell ref="A13:E13"/>
    <mergeCell ref="A14:E14"/>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F27" sqref="F27"/>
    </sheetView>
  </sheetViews>
  <sheetFormatPr defaultRowHeight="15"/>
  <cols>
    <col min="2" max="2" width="53" customWidth="1"/>
    <col min="3" max="3" width="17.140625" customWidth="1"/>
    <col min="4" max="4" width="18.85546875" customWidth="1"/>
    <col min="5" max="5" width="12.85546875" customWidth="1"/>
    <col min="6" max="6" width="16" customWidth="1"/>
  </cols>
  <sheetData>
    <row r="1" spans="1:9">
      <c r="A1" s="235"/>
      <c r="B1" s="235"/>
      <c r="C1" s="235"/>
      <c r="D1" s="235"/>
      <c r="E1" s="235"/>
      <c r="F1" s="235"/>
      <c r="G1" s="235"/>
      <c r="H1" s="235"/>
      <c r="I1" s="235"/>
    </row>
    <row r="2" spans="1:9" ht="27" customHeight="1">
      <c r="A2" s="370" t="s">
        <v>208</v>
      </c>
      <c r="B2" s="370"/>
      <c r="C2" s="370"/>
      <c r="D2" s="370"/>
      <c r="E2" s="370"/>
      <c r="F2" s="370"/>
      <c r="G2" s="235"/>
      <c r="H2" s="235"/>
      <c r="I2" s="235"/>
    </row>
    <row r="3" spans="1:9" ht="25.5">
      <c r="A3" s="237" t="s">
        <v>151</v>
      </c>
      <c r="B3" s="236" t="s">
        <v>23</v>
      </c>
      <c r="C3" s="247" t="s">
        <v>178</v>
      </c>
      <c r="D3" s="248" t="s">
        <v>177</v>
      </c>
      <c r="E3" s="248" t="s">
        <v>155</v>
      </c>
      <c r="F3" s="249" t="s">
        <v>173</v>
      </c>
      <c r="G3" s="235"/>
      <c r="H3" s="235"/>
      <c r="I3" s="235"/>
    </row>
    <row r="4" spans="1:9" ht="26.25" thickBot="1">
      <c r="A4" s="238" t="s">
        <v>156</v>
      </c>
      <c r="B4" s="239" t="s">
        <v>174</v>
      </c>
      <c r="C4" s="250" t="s">
        <v>156</v>
      </c>
      <c r="D4" s="245" t="s">
        <v>179</v>
      </c>
      <c r="E4" s="229">
        <v>35</v>
      </c>
      <c r="F4" s="229">
        <f>E4*C4</f>
        <v>35</v>
      </c>
      <c r="G4" s="235"/>
      <c r="H4" s="235"/>
      <c r="I4" s="235"/>
    </row>
    <row r="5" spans="1:9" ht="26.25" thickBot="1">
      <c r="A5" s="238" t="s">
        <v>157</v>
      </c>
      <c r="B5" s="239" t="s">
        <v>175</v>
      </c>
      <c r="C5" s="250" t="s">
        <v>156</v>
      </c>
      <c r="D5" s="245" t="s">
        <v>179</v>
      </c>
      <c r="E5" s="229">
        <v>1613</v>
      </c>
      <c r="F5" s="229">
        <f>E5*C5/60</f>
        <v>26.883333333333333</v>
      </c>
      <c r="G5" s="235"/>
      <c r="H5" s="235"/>
      <c r="I5" s="235"/>
    </row>
    <row r="6" spans="1:9" ht="26.25" thickBot="1">
      <c r="A6" s="238" t="s">
        <v>158</v>
      </c>
      <c r="B6" s="240" t="s">
        <v>219</v>
      </c>
      <c r="C6" s="250" t="s">
        <v>159</v>
      </c>
      <c r="D6" s="245" t="s">
        <v>180</v>
      </c>
      <c r="E6" s="229">
        <v>65</v>
      </c>
      <c r="F6" s="229">
        <f>E6*C6</f>
        <v>260</v>
      </c>
      <c r="G6" s="235"/>
      <c r="H6" s="235"/>
      <c r="I6" s="235"/>
    </row>
    <row r="7" spans="1:9" ht="26.25" thickBot="1">
      <c r="A7" s="238" t="s">
        <v>159</v>
      </c>
      <c r="B7" s="239" t="s">
        <v>176</v>
      </c>
      <c r="C7" s="250" t="s">
        <v>159</v>
      </c>
      <c r="D7" s="245" t="s">
        <v>180</v>
      </c>
      <c r="E7" s="229">
        <v>25</v>
      </c>
      <c r="F7" s="229">
        <f>E7*C7</f>
        <v>100</v>
      </c>
      <c r="G7" s="235"/>
      <c r="H7" s="235"/>
      <c r="I7" s="235"/>
    </row>
    <row r="8" spans="1:9" ht="14.25" customHeight="1">
      <c r="A8" s="375" t="s">
        <v>183</v>
      </c>
      <c r="B8" s="376"/>
      <c r="C8" s="376"/>
      <c r="D8" s="376"/>
      <c r="E8" s="377"/>
      <c r="F8" s="242">
        <f>SUM(F4:F7)</f>
        <v>421.88333333333333</v>
      </c>
      <c r="G8" s="235"/>
      <c r="H8" s="235"/>
      <c r="I8" s="235"/>
    </row>
    <row r="9" spans="1:9" ht="13.5" customHeight="1">
      <c r="A9" s="372" t="s">
        <v>184</v>
      </c>
      <c r="B9" s="373"/>
      <c r="C9" s="373"/>
      <c r="D9" s="373"/>
      <c r="E9" s="374"/>
      <c r="F9" s="241">
        <f>F8/12</f>
        <v>35.156944444444441</v>
      </c>
      <c r="G9" s="235"/>
      <c r="H9" s="235"/>
      <c r="I9" s="235"/>
    </row>
    <row r="10" spans="1:9">
      <c r="A10" s="235"/>
      <c r="B10" s="251"/>
      <c r="C10" s="235"/>
      <c r="D10" s="235"/>
      <c r="E10" s="235"/>
      <c r="F10" s="235"/>
      <c r="G10" s="235"/>
      <c r="H10" s="235"/>
      <c r="I10" s="235"/>
    </row>
    <row r="12" spans="1:9">
      <c r="A12" s="370" t="s">
        <v>209</v>
      </c>
      <c r="B12" s="370"/>
      <c r="C12" s="370"/>
      <c r="D12" s="370"/>
      <c r="E12" s="370"/>
      <c r="F12" s="370"/>
      <c r="G12" s="235"/>
    </row>
    <row r="13" spans="1:9" ht="25.5">
      <c r="A13" s="237" t="s">
        <v>151</v>
      </c>
      <c r="B13" s="254" t="s">
        <v>23</v>
      </c>
      <c r="C13" s="248" t="s">
        <v>178</v>
      </c>
      <c r="D13" s="248" t="s">
        <v>177</v>
      </c>
      <c r="E13" s="248" t="s">
        <v>155</v>
      </c>
      <c r="F13" s="249" t="s">
        <v>173</v>
      </c>
      <c r="G13" s="235"/>
    </row>
    <row r="14" spans="1:9">
      <c r="A14" s="252" t="s">
        <v>156</v>
      </c>
      <c r="B14" s="243" t="s">
        <v>174</v>
      </c>
      <c r="C14" s="244" t="s">
        <v>156</v>
      </c>
      <c r="D14" s="285" t="s">
        <v>210</v>
      </c>
      <c r="E14" s="229">
        <v>35</v>
      </c>
      <c r="F14" s="229">
        <f t="shared" ref="F14:F16" si="0">E14*C14</f>
        <v>35</v>
      </c>
      <c r="G14" s="235"/>
    </row>
    <row r="15" spans="1:9" ht="25.5">
      <c r="A15" s="252" t="s">
        <v>157</v>
      </c>
      <c r="B15" s="243" t="s">
        <v>175</v>
      </c>
      <c r="C15" s="244" t="s">
        <v>156</v>
      </c>
      <c r="D15" s="285"/>
      <c r="E15" s="229">
        <v>1613</v>
      </c>
      <c r="F15" s="229">
        <f>E15*C15/60</f>
        <v>26.883333333333333</v>
      </c>
      <c r="G15" s="235"/>
    </row>
    <row r="16" spans="1:9">
      <c r="A16" s="252" t="s">
        <v>158</v>
      </c>
      <c r="B16" s="255" t="s">
        <v>219</v>
      </c>
      <c r="C16" s="244" t="s">
        <v>159</v>
      </c>
      <c r="D16" s="285"/>
      <c r="E16" s="229">
        <v>65</v>
      </c>
      <c r="F16" s="229">
        <f t="shared" si="0"/>
        <v>260</v>
      </c>
      <c r="G16" s="235"/>
    </row>
    <row r="17" spans="1:7">
      <c r="A17" s="253" t="s">
        <v>159</v>
      </c>
      <c r="B17" s="243" t="s">
        <v>176</v>
      </c>
      <c r="C17" s="244" t="s">
        <v>159</v>
      </c>
      <c r="D17" s="285"/>
      <c r="E17" s="229">
        <v>25</v>
      </c>
      <c r="F17" s="229">
        <f>E17*C17</f>
        <v>100</v>
      </c>
      <c r="G17" s="235"/>
    </row>
    <row r="18" spans="1:7">
      <c r="A18" s="253" t="s">
        <v>160</v>
      </c>
      <c r="B18" s="243" t="s">
        <v>181</v>
      </c>
      <c r="C18" s="244" t="s">
        <v>156</v>
      </c>
      <c r="D18" s="285"/>
      <c r="E18" s="229">
        <v>20</v>
      </c>
      <c r="F18" s="229">
        <f>E18*C18</f>
        <v>20</v>
      </c>
      <c r="G18" s="235"/>
    </row>
    <row r="19" spans="1:7">
      <c r="A19" s="375" t="s">
        <v>183</v>
      </c>
      <c r="B19" s="376"/>
      <c r="C19" s="376"/>
      <c r="D19" s="376"/>
      <c r="E19" s="377"/>
      <c r="F19" s="242">
        <f>SUM(F14:F18)</f>
        <v>441.88333333333333</v>
      </c>
      <c r="G19" s="235"/>
    </row>
    <row r="20" spans="1:7">
      <c r="A20" s="372" t="s">
        <v>184</v>
      </c>
      <c r="B20" s="373"/>
      <c r="C20" s="373"/>
      <c r="D20" s="373"/>
      <c r="E20" s="374"/>
      <c r="F20" s="241">
        <f>F19/12</f>
        <v>36.823611111111113</v>
      </c>
      <c r="G20" s="235"/>
    </row>
    <row r="21" spans="1:7">
      <c r="A21" s="235"/>
      <c r="B21" s="235"/>
      <c r="C21" s="235"/>
      <c r="D21" s="235"/>
      <c r="E21" s="235"/>
      <c r="F21" s="235"/>
      <c r="G21" s="235"/>
    </row>
  </sheetData>
  <mergeCells count="7">
    <mergeCell ref="A20:E20"/>
    <mergeCell ref="D14:D18"/>
    <mergeCell ref="A2:F2"/>
    <mergeCell ref="A8:E8"/>
    <mergeCell ref="A9:E9"/>
    <mergeCell ref="A12:F12"/>
    <mergeCell ref="A19:E19"/>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election activeCell="G17" sqref="G17"/>
    </sheetView>
  </sheetViews>
  <sheetFormatPr defaultRowHeight="15"/>
  <cols>
    <col min="2" max="2" width="53" customWidth="1"/>
    <col min="3" max="3" width="17.140625" customWidth="1"/>
    <col min="4" max="4" width="18.85546875" customWidth="1"/>
    <col min="5" max="5" width="12.85546875" customWidth="1"/>
    <col min="6" max="6" width="16" customWidth="1"/>
  </cols>
  <sheetData>
    <row r="2" spans="1:7" ht="15" customHeight="1">
      <c r="A2" s="370" t="s">
        <v>207</v>
      </c>
      <c r="B2" s="370"/>
      <c r="C2" s="370"/>
      <c r="D2" s="370"/>
      <c r="E2" s="370"/>
      <c r="F2" s="370"/>
      <c r="G2" s="235"/>
    </row>
    <row r="3" spans="1:7" ht="25.5">
      <c r="A3" s="237" t="s">
        <v>151</v>
      </c>
      <c r="B3" s="254" t="s">
        <v>23</v>
      </c>
      <c r="C3" s="248" t="s">
        <v>178</v>
      </c>
      <c r="D3" s="248" t="s">
        <v>177</v>
      </c>
      <c r="E3" s="248" t="s">
        <v>155</v>
      </c>
      <c r="F3" s="249" t="s">
        <v>173</v>
      </c>
      <c r="G3" s="235"/>
    </row>
    <row r="4" spans="1:7" ht="25.5">
      <c r="A4" s="252" t="s">
        <v>156</v>
      </c>
      <c r="B4" s="243" t="s">
        <v>175</v>
      </c>
      <c r="C4" s="244" t="s">
        <v>156</v>
      </c>
      <c r="D4" s="378" t="s">
        <v>182</v>
      </c>
      <c r="E4" s="229">
        <v>1613</v>
      </c>
      <c r="F4" s="229">
        <f>E4*C4/60</f>
        <v>26.883333333333333</v>
      </c>
      <c r="G4" s="235"/>
    </row>
    <row r="5" spans="1:7">
      <c r="A5" s="252" t="s">
        <v>157</v>
      </c>
      <c r="B5" s="255" t="s">
        <v>219</v>
      </c>
      <c r="C5" s="244" t="s">
        <v>156</v>
      </c>
      <c r="D5" s="378"/>
      <c r="E5" s="229">
        <v>65</v>
      </c>
      <c r="F5" s="229">
        <f>E5*C5/12</f>
        <v>5.416666666666667</v>
      </c>
      <c r="G5" s="235"/>
    </row>
    <row r="6" spans="1:7">
      <c r="A6" s="253" t="s">
        <v>158</v>
      </c>
      <c r="B6" s="243" t="s">
        <v>181</v>
      </c>
      <c r="C6" s="244" t="s">
        <v>156</v>
      </c>
      <c r="D6" s="378"/>
      <c r="E6" s="229">
        <v>20</v>
      </c>
      <c r="F6" s="229">
        <f>E6*C6/12</f>
        <v>1.6666666666666667</v>
      </c>
      <c r="G6" s="235"/>
    </row>
    <row r="7" spans="1:7" ht="15" customHeight="1">
      <c r="A7" s="375" t="s">
        <v>205</v>
      </c>
      <c r="B7" s="376"/>
      <c r="C7" s="376"/>
      <c r="D7" s="376"/>
      <c r="E7" s="377"/>
      <c r="F7" s="242">
        <f>SUM(F4:F6)</f>
        <v>33.966666666666661</v>
      </c>
      <c r="G7" s="235"/>
    </row>
    <row r="8" spans="1:7">
      <c r="A8" s="372" t="s">
        <v>206</v>
      </c>
      <c r="B8" s="373"/>
      <c r="C8" s="373"/>
      <c r="D8" s="373"/>
      <c r="E8" s="374"/>
      <c r="F8" s="241">
        <f>F7</f>
        <v>33.966666666666661</v>
      </c>
      <c r="G8" s="235"/>
    </row>
    <row r="9" spans="1:7">
      <c r="A9" s="235"/>
      <c r="B9" s="235"/>
      <c r="C9" s="235"/>
      <c r="D9" s="235"/>
      <c r="E9" s="235"/>
      <c r="F9" s="235"/>
      <c r="G9" s="235"/>
    </row>
  </sheetData>
  <mergeCells count="4">
    <mergeCell ref="A2:F2"/>
    <mergeCell ref="D4:D6"/>
    <mergeCell ref="A7:E7"/>
    <mergeCell ref="A8:E8"/>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5</vt:i4>
      </vt:variant>
    </vt:vector>
  </HeadingPairs>
  <TitlesOfParts>
    <vt:vector size="14" baseType="lpstr">
      <vt:lpstr>QUADRO RESUMO</vt:lpstr>
      <vt:lpstr>VIGIA DIURNO 12X36</vt:lpstr>
      <vt:lpstr>VIGIA NOTURNO 12X36</vt:lpstr>
      <vt:lpstr>VIGIA DIURNO 5X2</vt:lpstr>
      <vt:lpstr>PORTEIRO DIURNO 5X2</vt:lpstr>
      <vt:lpstr>UNIFORME VIGIA </vt:lpstr>
      <vt:lpstr>UNIFORME PORTEIRO 5X2 </vt:lpstr>
      <vt:lpstr>EQUIPAMENTOS VIGIA</vt:lpstr>
      <vt:lpstr>EQUIPAMENTOS PORTEIRO 5X2</vt:lpstr>
      <vt:lpstr>'PORTEIRO DIURNO 5X2'!Area_de_impressao</vt:lpstr>
      <vt:lpstr>'QUADRO RESUMO'!Area_de_impressao</vt:lpstr>
      <vt:lpstr>'VIGIA DIURNO 12X36'!Area_de_impressao</vt:lpstr>
      <vt:lpstr>'VIGIA DIURNO 5X2'!Area_de_impressao</vt:lpstr>
      <vt:lpstr>'VIGIA NOTURNO 12X36'!Area_de_impressao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Claudia Muraro</cp:lastModifiedBy>
  <cp:lastPrinted>2020-08-24T22:50:33Z</cp:lastPrinted>
  <dcterms:created xsi:type="dcterms:W3CDTF">2020-04-27T19:33:47Z</dcterms:created>
  <dcterms:modified xsi:type="dcterms:W3CDTF">2020-08-27T13:45:27Z</dcterms:modified>
</cp:coreProperties>
</file>