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erna\Desktop\"/>
    </mc:Choice>
  </mc:AlternateContent>
  <bookViews>
    <workbookView xWindow="0" yWindow="0" windowWidth="20490" windowHeight="7755" tabRatio="772" firstSheet="10" activeTab="14"/>
  </bookViews>
  <sheets>
    <sheet name="Plan. Auxiliar" sheetId="27" state="hidden" r:id="rId1"/>
    <sheet name="&quot;03&quot; Laborat." sheetId="13" state="hidden" r:id="rId2"/>
    <sheet name="&quot;04&quot; Almoxarifados" sheetId="4" state="hidden" r:id="rId3"/>
    <sheet name="&quot;05&quot; Oficinas" sheetId="14" state="hidden" r:id="rId4"/>
    <sheet name="&quot;06&quot; Esp.Livres" sheetId="15" state="hidden" r:id="rId5"/>
    <sheet name="&quot;08&quot; P. Adj e Cont." sheetId="18" state="hidden" r:id="rId6"/>
    <sheet name="&quot;09&quot; Varrição" sheetId="19" state="hidden" r:id="rId7"/>
    <sheet name="&quot;10&quot; Pat. e Áreas Verdes" sheetId="21" state="hidden" r:id="rId8"/>
    <sheet name="&quot;14&quot; Fachada Envidraçada" sheetId="26" state="hidden" r:id="rId9"/>
    <sheet name="MATERIAL E EQUI" sheetId="81" state="hidden" r:id="rId10"/>
    <sheet name="RESUMO" sheetId="45" r:id="rId11"/>
    <sheet name="M²" sheetId="35" state="hidden" r:id="rId12"/>
    <sheet name="M² 2" sheetId="37" state="hidden" r:id="rId13"/>
    <sheet name="Servente 24h" sheetId="157" r:id="rId14"/>
    <sheet name="Jardineiro 8h-1x mês" sheetId="160" r:id="rId15"/>
    <sheet name="UNIFORMES" sheetId="122" state="hidden" r:id="rId16"/>
  </sheets>
  <externalReferences>
    <externalReference r:id="rId17"/>
    <externalReference r:id="rId18"/>
  </externalReferences>
  <definedNames>
    <definedName name="A" localSheetId="14">#REF!</definedName>
    <definedName name="A" localSheetId="9">#REF!</definedName>
    <definedName name="A" localSheetId="13">#REF!</definedName>
    <definedName name="A">#REF!</definedName>
    <definedName name="Aparecida">'Plan. Auxiliar'!$D$3</definedName>
    <definedName name="Araçatuba">'Plan. Auxiliar'!$E$3</definedName>
    <definedName name="_xlnm.Print_Area" localSheetId="14">'Jardineiro 8h-1x mês'!$A$1:$Q$107</definedName>
    <definedName name="_xlnm.Print_Area" localSheetId="9">'MATERIAL E EQUI'!$A$1:$Q$20</definedName>
    <definedName name="_xlnm.Print_Area" localSheetId="10">RESUMO!$A$1:$J$13</definedName>
    <definedName name="_xlnm.Print_Area" localSheetId="13">'Servente 24h'!$A$1:$Q$107</definedName>
    <definedName name="áreas" localSheetId="14">#REF!</definedName>
    <definedName name="áreas" localSheetId="9">#REF!</definedName>
    <definedName name="áreas" localSheetId="13">#REF!</definedName>
    <definedName name="áreas">#REF!</definedName>
    <definedName name="Arujá">'Plan. Auxiliar'!$F$3</definedName>
    <definedName name="Atibaia">'Plan. Auxiliar'!$G$3:$G$4</definedName>
    <definedName name="B" localSheetId="14">#REF!</definedName>
    <definedName name="B" localSheetId="9">#REF!</definedName>
    <definedName name="B" localSheetId="13">#REF!</definedName>
    <definedName name="B">#REF!</definedName>
    <definedName name="Barra_do_Turvo">'Plan. Auxiliar'!$I$3:$J$3</definedName>
    <definedName name="Bauru">'Plan. Auxiliar'!$I$3</definedName>
    <definedName name="C_" localSheetId="14">#REF!</definedName>
    <definedName name="C_" localSheetId="9">#REF!</definedName>
    <definedName name="C_" localSheetId="13">#REF!</definedName>
    <definedName name="C_">#REF!</definedName>
    <definedName name="Caçapava">'Plan. Auxiliar'!$J$3</definedName>
    <definedName name="Cachoeira_Paulista">'Plan. Auxiliar'!$K$3:$K$4</definedName>
    <definedName name="Cajati">'Plan. Auxiliar'!$L$3</definedName>
    <definedName name="Campinas">'Plan. Auxiliar'!$N$3</definedName>
    <definedName name="D" localSheetId="14">#REF!</definedName>
    <definedName name="D" localSheetId="9">#REF!</definedName>
    <definedName name="D" localSheetId="13">#REF!</definedName>
    <definedName name="D">#REF!</definedName>
    <definedName name="Del_05_Posto_Barra_do_Turvo">'Plan. Auxiliar'!$I$3:$J$3</definedName>
    <definedName name="Del_10_Marília">'Plan. Auxiliar'!$S$3</definedName>
    <definedName name="Guaiçara">'Plan. Auxiliar'!$N$3</definedName>
    <definedName name="Guarulhos">'Plan. Auxiliar'!$O$3:$O$6</definedName>
    <definedName name="Itapecerica_da_Serra">'Plan. Auxiliar'!$P$3:$P$4</definedName>
    <definedName name="Lavrinhas">'Plan. Auxiliar'!$Q$3</definedName>
    <definedName name="Marília">'Plan. Auxiliar'!$S$3:$S$4</definedName>
    <definedName name="materiaishig" localSheetId="14">#REF!</definedName>
    <definedName name="materiaishig" localSheetId="9">#REF!</definedName>
    <definedName name="materiaishig" localSheetId="13">#REF!</definedName>
    <definedName name="materiaishig">#REF!</definedName>
    <definedName name="Medida" localSheetId="14">#REF!</definedName>
    <definedName name="Medida" localSheetId="9">#REF!</definedName>
    <definedName name="Medida" localSheetId="13">#REF!</definedName>
    <definedName name="Medida">#REF!</definedName>
    <definedName name="Miracatu">'Plan. Auxiliar'!$S$3:$S$4</definedName>
    <definedName name="Municípios">'Plan. Auxiliar'!$B$3:$B$34</definedName>
    <definedName name="Osasco">'Plan. Auxiliar'!$T$3</definedName>
    <definedName name="Ourinhos">'Plan. Auxiliar'!$U$3</definedName>
    <definedName name="Piquete">'Plan. Auxiliar'!$V$3</definedName>
    <definedName name="Piracicaba">'Plan. Auxiliar'!$W$3</definedName>
    <definedName name="Presidente_Prudente">'Plan. Auxiliar'!$X$3:$X$4</definedName>
    <definedName name="Produtividade" localSheetId="14">#REF!</definedName>
    <definedName name="Produtividade" localSheetId="9">#REF!</definedName>
    <definedName name="Produtividade" localSheetId="13">#REF!</definedName>
    <definedName name="Produtividade">#REF!</definedName>
    <definedName name="PSF_Campinas">'Plan. Auxiliar'!$N$3</definedName>
    <definedName name="PSU_Marília">'Plan. Auxiliar'!$S$4</definedName>
    <definedName name="Registro">'Plan. Auxiliar'!$Y$3:$Y$4</definedName>
    <definedName name="Ribeirão_Preto">'Plan. Auxiliar'!$Z$3:$Z$4</definedName>
    <definedName name="Roseira">'Plan. Auxiliar'!$AA$3</definedName>
    <definedName name="Santos">'Plan. Auxiliar'!$AB$3:$AB$4</definedName>
    <definedName name="São_José_do_Rio_Preto">'Plan. Auxiliar'!$AC$3:$AC$5</definedName>
    <definedName name="São_José_dos_Campos">'Plan. Auxiliar'!$AD$3:$AD$4</definedName>
    <definedName name="São_Paulo">'Plan. Auxiliar'!$AE$3:$AE$6</definedName>
    <definedName name="Sorocaba">'Plan. Auxiliar'!$AF$3</definedName>
    <definedName name="Taubaté">'Plan. Auxiliar'!$AG$3:$AG$4</definedName>
    <definedName name="Ubatuba">'Plan. Auxiliar'!$AH$3:$AH$6</definedName>
    <definedName name="Vargem">'Plan. Auxiliar'!$AI$3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45" l="1"/>
  <c r="J30" i="160"/>
  <c r="K8" i="160"/>
  <c r="K10" i="160" s="1"/>
  <c r="K11" i="160" s="1"/>
  <c r="K103" i="160"/>
  <c r="K102" i="160"/>
  <c r="B94" i="160"/>
  <c r="B93" i="160"/>
  <c r="B92" i="160"/>
  <c r="B91" i="160"/>
  <c r="B90" i="160"/>
  <c r="K89" i="160"/>
  <c r="H81" i="160"/>
  <c r="K104" i="160" s="1"/>
  <c r="K76" i="160"/>
  <c r="J58" i="160"/>
  <c r="J57" i="160"/>
  <c r="J56" i="160"/>
  <c r="J55" i="160"/>
  <c r="J54" i="160"/>
  <c r="J50" i="160"/>
  <c r="J48" i="160"/>
  <c r="J46" i="160"/>
  <c r="K32" i="160"/>
  <c r="J31" i="160"/>
  <c r="K31" i="160" s="1"/>
  <c r="K30" i="160"/>
  <c r="J26" i="160"/>
  <c r="J28" i="160" s="1"/>
  <c r="K33" i="160"/>
  <c r="J30" i="157"/>
  <c r="K8" i="157"/>
  <c r="K10" i="157" s="1"/>
  <c r="K11" i="157" s="1"/>
  <c r="K103" i="157"/>
  <c r="K102" i="157"/>
  <c r="B94" i="157"/>
  <c r="B93" i="157"/>
  <c r="B92" i="157"/>
  <c r="B91" i="157"/>
  <c r="B90" i="157"/>
  <c r="K89" i="157"/>
  <c r="H81" i="157"/>
  <c r="K104" i="157" s="1"/>
  <c r="K76" i="157"/>
  <c r="J58" i="157"/>
  <c r="J57" i="157"/>
  <c r="J56" i="157"/>
  <c r="J55" i="157"/>
  <c r="J54" i="157"/>
  <c r="J50" i="157"/>
  <c r="J48" i="157"/>
  <c r="J46" i="157"/>
  <c r="J47" i="157" s="1"/>
  <c r="K32" i="157"/>
  <c r="J31" i="157"/>
  <c r="K31" i="157" s="1"/>
  <c r="K30" i="157"/>
  <c r="J26" i="157"/>
  <c r="J28" i="157" s="1"/>
  <c r="J15" i="157"/>
  <c r="J16" i="157" s="1"/>
  <c r="J49" i="160" l="1"/>
  <c r="J60" i="157"/>
  <c r="J61" i="157" s="1"/>
  <c r="K61" i="157" s="1"/>
  <c r="K33" i="157"/>
  <c r="J49" i="157"/>
  <c r="J51" i="157" s="1"/>
  <c r="K49" i="160"/>
  <c r="K46" i="160"/>
  <c r="K57" i="160"/>
  <c r="K48" i="160"/>
  <c r="K39" i="160"/>
  <c r="K43" i="160" s="1"/>
  <c r="K54" i="160"/>
  <c r="K58" i="160"/>
  <c r="K55" i="160"/>
  <c r="K50" i="160"/>
  <c r="K20" i="160"/>
  <c r="K24" i="160"/>
  <c r="K23" i="160"/>
  <c r="K14" i="160"/>
  <c r="K25" i="160"/>
  <c r="K64" i="160"/>
  <c r="K65" i="160" s="1"/>
  <c r="K68" i="160" s="1"/>
  <c r="K27" i="160"/>
  <c r="K22" i="160"/>
  <c r="K90" i="160"/>
  <c r="K59" i="160"/>
  <c r="K26" i="160"/>
  <c r="K21" i="160"/>
  <c r="K105" i="160"/>
  <c r="K56" i="160"/>
  <c r="J60" i="160"/>
  <c r="J15" i="160"/>
  <c r="J47" i="160"/>
  <c r="K47" i="160" s="1"/>
  <c r="K58" i="157"/>
  <c r="K15" i="157"/>
  <c r="K49" i="157"/>
  <c r="K48" i="157"/>
  <c r="K47" i="157"/>
  <c r="K39" i="157"/>
  <c r="K43" i="157" s="1"/>
  <c r="J17" i="157"/>
  <c r="K17" i="157" s="1"/>
  <c r="K105" i="157"/>
  <c r="K14" i="157"/>
  <c r="K16" i="157" s="1"/>
  <c r="K23" i="157"/>
  <c r="K56" i="157"/>
  <c r="K64" i="157"/>
  <c r="K65" i="157" s="1"/>
  <c r="K68" i="157" s="1"/>
  <c r="K22" i="157"/>
  <c r="K27" i="157"/>
  <c r="K59" i="157"/>
  <c r="K90" i="157"/>
  <c r="K24" i="157"/>
  <c r="K46" i="157"/>
  <c r="K54" i="157"/>
  <c r="K57" i="157"/>
  <c r="K20" i="157"/>
  <c r="K25" i="157"/>
  <c r="K21" i="157"/>
  <c r="K26" i="157"/>
  <c r="K50" i="157"/>
  <c r="K55" i="157"/>
  <c r="J18" i="157" l="1"/>
  <c r="J51" i="160"/>
  <c r="K51" i="160"/>
  <c r="K92" i="160" s="1"/>
  <c r="K60" i="160"/>
  <c r="J16" i="160"/>
  <c r="K15" i="160"/>
  <c r="K16" i="160" s="1"/>
  <c r="K28" i="160"/>
  <c r="K42" i="160" s="1"/>
  <c r="J61" i="160"/>
  <c r="K61" i="160" s="1"/>
  <c r="K60" i="157"/>
  <c r="K62" i="157" s="1"/>
  <c r="K18" i="157"/>
  <c r="K41" i="157" s="1"/>
  <c r="K28" i="157"/>
  <c r="K42" i="157" s="1"/>
  <c r="K51" i="157"/>
  <c r="K92" i="157" s="1"/>
  <c r="J62" i="157"/>
  <c r="K62" i="160" l="1"/>
  <c r="K67" i="160" s="1"/>
  <c r="K69" i="160" s="1"/>
  <c r="J17" i="160"/>
  <c r="K17" i="160" s="1"/>
  <c r="K18" i="160" s="1"/>
  <c r="K41" i="160" s="1"/>
  <c r="K44" i="160" s="1"/>
  <c r="J62" i="160"/>
  <c r="K44" i="157"/>
  <c r="K67" i="157"/>
  <c r="K69" i="157" s="1"/>
  <c r="K93" i="157"/>
  <c r="K93" i="160" l="1"/>
  <c r="J18" i="160"/>
  <c r="K91" i="160"/>
  <c r="K73" i="160"/>
  <c r="K74" i="160"/>
  <c r="K91" i="157"/>
  <c r="K74" i="157"/>
  <c r="K73" i="157"/>
  <c r="K75" i="160" l="1"/>
  <c r="K94" i="160" s="1"/>
  <c r="K95" i="160" s="1"/>
  <c r="K75" i="157"/>
  <c r="K94" i="157" s="1"/>
  <c r="K95" i="157" s="1"/>
  <c r="K77" i="160" l="1"/>
  <c r="K78" i="160" s="1"/>
  <c r="I79" i="160" s="1"/>
  <c r="K97" i="160" s="1"/>
  <c r="D6" i="45" s="1"/>
  <c r="F6" i="45" s="1"/>
  <c r="G6" i="45" s="1"/>
  <c r="K77" i="157"/>
  <c r="K78" i="157" s="1"/>
  <c r="I79" i="157" s="1"/>
  <c r="K97" i="157" s="1"/>
  <c r="D5" i="45" l="1"/>
  <c r="I83" i="160"/>
  <c r="I81" i="160"/>
  <c r="K96" i="160"/>
  <c r="I82" i="160"/>
  <c r="I86" i="160"/>
  <c r="I85" i="160"/>
  <c r="K98" i="160"/>
  <c r="K99" i="160" s="1"/>
  <c r="I84" i="160"/>
  <c r="I83" i="157"/>
  <c r="K96" i="157"/>
  <c r="I82" i="157"/>
  <c r="I86" i="157"/>
  <c r="I81" i="157"/>
  <c r="K98" i="157"/>
  <c r="K99" i="157" s="1"/>
  <c r="I84" i="157"/>
  <c r="I85" i="157"/>
  <c r="K81" i="160" l="1"/>
  <c r="K87" i="160" s="1"/>
  <c r="K81" i="157"/>
  <c r="K87" i="157" s="1"/>
  <c r="E15" i="122" l="1"/>
  <c r="E14" i="122"/>
  <c r="E13" i="122"/>
  <c r="F5" i="45" l="1"/>
  <c r="G5" i="45" s="1"/>
  <c r="E11" i="122" l="1"/>
  <c r="G10" i="81" l="1"/>
  <c r="E8" i="122"/>
  <c r="D8" i="81" l="1"/>
  <c r="H8" i="81" s="1"/>
  <c r="D9" i="81" l="1"/>
  <c r="H9" i="81" s="1"/>
  <c r="E17" i="122" l="1"/>
  <c r="E12" i="122"/>
  <c r="E10" i="122" l="1"/>
  <c r="E9" i="122" l="1"/>
  <c r="E18" i="122" s="1"/>
  <c r="E19" i="122" s="1"/>
  <c r="E2" i="122"/>
  <c r="G2" i="122" s="1"/>
  <c r="G3" i="122" s="1"/>
  <c r="F8" i="81" l="1"/>
  <c r="J8" i="81" s="1"/>
  <c r="F9" i="81"/>
  <c r="J9" i="81" s="1"/>
  <c r="F7" i="81"/>
  <c r="E9" i="81"/>
  <c r="I9" i="81" s="1"/>
  <c r="E8" i="81"/>
  <c r="I8" i="81" s="1"/>
  <c r="C24" i="122"/>
  <c r="D24" i="122" s="1"/>
  <c r="F24" i="122" s="1"/>
  <c r="G4" i="122"/>
  <c r="E7" i="81" l="1"/>
  <c r="D7" i="81"/>
  <c r="F9" i="45" l="1"/>
  <c r="G9" i="45" l="1"/>
  <c r="E152" i="37"/>
  <c r="F147" i="37"/>
  <c r="F145" i="37"/>
  <c r="F143" i="37"/>
  <c r="F142" i="37"/>
  <c r="F141" i="37"/>
  <c r="F138" i="37"/>
  <c r="F137" i="37"/>
  <c r="F136" i="37"/>
  <c r="F135" i="37"/>
  <c r="F134" i="37"/>
  <c r="F133" i="37"/>
  <c r="F130" i="37"/>
  <c r="F129" i="37"/>
  <c r="F128" i="37"/>
  <c r="F127" i="37"/>
  <c r="F126" i="37"/>
  <c r="F125" i="37"/>
  <c r="D115" i="37"/>
  <c r="C117" i="37" s="1"/>
  <c r="D105" i="37"/>
  <c r="C107" i="37" s="1"/>
  <c r="G106" i="37" s="1"/>
  <c r="D95" i="37"/>
  <c r="G94" i="37" s="1"/>
  <c r="D90" i="37"/>
  <c r="C92" i="37" s="1"/>
  <c r="G91" i="37" s="1"/>
  <c r="D85" i="37"/>
  <c r="G84" i="37" s="1"/>
  <c r="H84" i="37"/>
  <c r="D71" i="37"/>
  <c r="C73" i="37" s="1"/>
  <c r="D66" i="37"/>
  <c r="C68" i="37" s="1"/>
  <c r="D61" i="37"/>
  <c r="D56" i="37"/>
  <c r="C58" i="37" s="1"/>
  <c r="D51" i="37"/>
  <c r="D46" i="37"/>
  <c r="C48" i="37" s="1"/>
  <c r="E45" i="37"/>
  <c r="D36" i="37"/>
  <c r="C38" i="37" s="1"/>
  <c r="D31" i="37"/>
  <c r="C33" i="37" s="1"/>
  <c r="D26" i="37"/>
  <c r="D21" i="37"/>
  <c r="C23" i="37" s="1"/>
  <c r="D16" i="37"/>
  <c r="E15" i="37"/>
  <c r="H89" i="37" s="1"/>
  <c r="E12" i="37"/>
  <c r="E17" i="37" s="1"/>
  <c r="D11" i="37"/>
  <c r="C13" i="37" s="1"/>
  <c r="C110" i="35"/>
  <c r="C109" i="35"/>
  <c r="C105" i="35"/>
  <c r="C104" i="35"/>
  <c r="C100" i="35"/>
  <c r="D99" i="35"/>
  <c r="E99" i="35" s="1"/>
  <c r="C99" i="35"/>
  <c r="D95" i="35"/>
  <c r="D105" i="35" s="1"/>
  <c r="E105" i="35" s="1"/>
  <c r="C95" i="35"/>
  <c r="D94" i="35"/>
  <c r="D104" i="35" s="1"/>
  <c r="E104" i="35" s="1"/>
  <c r="G104" i="35" s="1"/>
  <c r="C94" i="35"/>
  <c r="C90" i="35"/>
  <c r="C89" i="35"/>
  <c r="C85" i="35"/>
  <c r="C84" i="35"/>
  <c r="C75" i="35"/>
  <c r="C74" i="35"/>
  <c r="C70" i="35"/>
  <c r="C69" i="35"/>
  <c r="D45" i="35"/>
  <c r="D55" i="35" s="1"/>
  <c r="D44" i="35"/>
  <c r="D54" i="35" s="1"/>
  <c r="D15" i="35"/>
  <c r="G15" i="35" s="1"/>
  <c r="D14" i="35"/>
  <c r="G14" i="35" s="1"/>
  <c r="D5" i="35"/>
  <c r="D10" i="35" s="1"/>
  <c r="C5" i="35"/>
  <c r="D4" i="35"/>
  <c r="D9" i="35" s="1"/>
  <c r="C4" i="35"/>
  <c r="J7" i="81"/>
  <c r="J10" i="81" s="1"/>
  <c r="J11" i="81" s="1"/>
  <c r="I7" i="81"/>
  <c r="I10" i="81" s="1"/>
  <c r="I11" i="81" s="1"/>
  <c r="H7" i="81"/>
  <c r="H10" i="81" s="1"/>
  <c r="H11" i="81" s="1"/>
  <c r="I118" i="26"/>
  <c r="I117" i="26"/>
  <c r="C109" i="26"/>
  <c r="C108" i="26"/>
  <c r="C107" i="26"/>
  <c r="C106" i="26"/>
  <c r="C105" i="26"/>
  <c r="L104" i="26"/>
  <c r="I95" i="26"/>
  <c r="I119" i="26" s="1"/>
  <c r="L90" i="26"/>
  <c r="J84" i="26"/>
  <c r="L82" i="26"/>
  <c r="L87" i="26" s="1"/>
  <c r="L109" i="26" s="1"/>
  <c r="K67" i="26"/>
  <c r="K66" i="26"/>
  <c r="K65" i="26"/>
  <c r="K64" i="26"/>
  <c r="K59" i="26"/>
  <c r="K54" i="26"/>
  <c r="L47" i="26"/>
  <c r="L43" i="26"/>
  <c r="C43" i="26"/>
  <c r="L42" i="26"/>
  <c r="C42" i="26"/>
  <c r="L41" i="26"/>
  <c r="C41" i="26"/>
  <c r="L40" i="26"/>
  <c r="C40" i="26"/>
  <c r="L39" i="26"/>
  <c r="C39" i="26"/>
  <c r="L38" i="26"/>
  <c r="C38" i="26"/>
  <c r="L37" i="26"/>
  <c r="L45" i="26" s="1"/>
  <c r="L50" i="26" s="1"/>
  <c r="C37" i="26"/>
  <c r="K32" i="26"/>
  <c r="K31" i="26"/>
  <c r="K55" i="26" s="1"/>
  <c r="K56" i="26" s="1"/>
  <c r="K23" i="26"/>
  <c r="L19" i="26"/>
  <c r="L10" i="26"/>
  <c r="L12" i="26" s="1"/>
  <c r="L7" i="26"/>
  <c r="L17" i="26" s="1"/>
  <c r="L30" i="26" s="1"/>
  <c r="B3" i="26"/>
  <c r="I118" i="21"/>
  <c r="I117" i="21"/>
  <c r="C109" i="21"/>
  <c r="C108" i="21"/>
  <c r="C107" i="21"/>
  <c r="C106" i="21"/>
  <c r="C105" i="21"/>
  <c r="L104" i="21"/>
  <c r="I95" i="21"/>
  <c r="I119" i="21" s="1"/>
  <c r="L90" i="21"/>
  <c r="J84" i="21"/>
  <c r="L82" i="21"/>
  <c r="L87" i="21" s="1"/>
  <c r="L109" i="21" s="1"/>
  <c r="K67" i="21"/>
  <c r="K66" i="21"/>
  <c r="K65" i="21"/>
  <c r="K64" i="21"/>
  <c r="K59" i="21"/>
  <c r="K54" i="21"/>
  <c r="L47" i="21"/>
  <c r="L43" i="21"/>
  <c r="C43" i="21"/>
  <c r="L42" i="21"/>
  <c r="C42" i="21"/>
  <c r="L41" i="21"/>
  <c r="C41" i="21"/>
  <c r="L40" i="21"/>
  <c r="C40" i="21"/>
  <c r="L39" i="21"/>
  <c r="C39" i="21"/>
  <c r="L38" i="21"/>
  <c r="C38" i="21"/>
  <c r="L37" i="21"/>
  <c r="L45" i="21" s="1"/>
  <c r="L50" i="21" s="1"/>
  <c r="C37" i="21"/>
  <c r="K32" i="21"/>
  <c r="K31" i="21"/>
  <c r="K23" i="21"/>
  <c r="L19" i="21"/>
  <c r="L7" i="21"/>
  <c r="L17" i="21" s="1"/>
  <c r="L33" i="21" s="1"/>
  <c r="B3" i="21"/>
  <c r="I118" i="19"/>
  <c r="I117" i="19"/>
  <c r="C109" i="19"/>
  <c r="C108" i="19"/>
  <c r="C107" i="19"/>
  <c r="C106" i="19"/>
  <c r="C105" i="19"/>
  <c r="L104" i="19"/>
  <c r="I95" i="19"/>
  <c r="I119" i="19" s="1"/>
  <c r="L90" i="19"/>
  <c r="J84" i="19"/>
  <c r="L82" i="19"/>
  <c r="L87" i="19" s="1"/>
  <c r="L109" i="19" s="1"/>
  <c r="K67" i="19"/>
  <c r="K66" i="19"/>
  <c r="K65" i="19"/>
  <c r="K64" i="19"/>
  <c r="K59" i="19"/>
  <c r="K54" i="19"/>
  <c r="L47" i="19"/>
  <c r="L43" i="19"/>
  <c r="C43" i="19"/>
  <c r="L42" i="19"/>
  <c r="C42" i="19"/>
  <c r="L41" i="19"/>
  <c r="C41" i="19"/>
  <c r="L40" i="19"/>
  <c r="C40" i="19"/>
  <c r="L39" i="19"/>
  <c r="C39" i="19"/>
  <c r="L38" i="19"/>
  <c r="C38" i="19"/>
  <c r="L37" i="19"/>
  <c r="L45" i="19" s="1"/>
  <c r="L50" i="19" s="1"/>
  <c r="C37" i="19"/>
  <c r="K32" i="19"/>
  <c r="K31" i="19"/>
  <c r="K23" i="19"/>
  <c r="L19" i="19"/>
  <c r="L7" i="19"/>
  <c r="L17" i="19" s="1"/>
  <c r="B3" i="19"/>
  <c r="I118" i="18"/>
  <c r="I117" i="18"/>
  <c r="C109" i="18"/>
  <c r="C108" i="18"/>
  <c r="C107" i="18"/>
  <c r="C106" i="18"/>
  <c r="C105" i="18"/>
  <c r="L104" i="18"/>
  <c r="I95" i="18"/>
  <c r="I119" i="18" s="1"/>
  <c r="L90" i="18"/>
  <c r="J84" i="18"/>
  <c r="L82" i="18"/>
  <c r="L87" i="18" s="1"/>
  <c r="L109" i="18" s="1"/>
  <c r="K67" i="18"/>
  <c r="K66" i="18"/>
  <c r="K65" i="18"/>
  <c r="K64" i="18"/>
  <c r="K59" i="18"/>
  <c r="K54" i="18"/>
  <c r="L47" i="18"/>
  <c r="L43" i="18"/>
  <c r="C43" i="18"/>
  <c r="L42" i="18"/>
  <c r="C42" i="18"/>
  <c r="L41" i="18"/>
  <c r="C41" i="18"/>
  <c r="L40" i="18"/>
  <c r="C40" i="18"/>
  <c r="L39" i="18"/>
  <c r="C39" i="18"/>
  <c r="L38" i="18"/>
  <c r="C38" i="18"/>
  <c r="L37" i="18"/>
  <c r="L45" i="18" s="1"/>
  <c r="L50" i="18" s="1"/>
  <c r="C37" i="18"/>
  <c r="K32" i="18"/>
  <c r="K31" i="18"/>
  <c r="K23" i="18"/>
  <c r="L19" i="18"/>
  <c r="L7" i="18"/>
  <c r="L17" i="18" s="1"/>
  <c r="B3" i="18"/>
  <c r="I118" i="15"/>
  <c r="I117" i="15"/>
  <c r="C109" i="15"/>
  <c r="C108" i="15"/>
  <c r="C107" i="15"/>
  <c r="C106" i="15"/>
  <c r="C105" i="15"/>
  <c r="L104" i="15"/>
  <c r="I95" i="15"/>
  <c r="I119" i="15" s="1"/>
  <c r="L90" i="15"/>
  <c r="J84" i="15"/>
  <c r="L82" i="15"/>
  <c r="L87" i="15" s="1"/>
  <c r="L109" i="15" s="1"/>
  <c r="K67" i="15"/>
  <c r="K66" i="15"/>
  <c r="K65" i="15"/>
  <c r="K64" i="15"/>
  <c r="K59" i="15"/>
  <c r="K54" i="15"/>
  <c r="L47" i="15"/>
  <c r="L43" i="15"/>
  <c r="C43" i="15"/>
  <c r="L42" i="15"/>
  <c r="C42" i="15"/>
  <c r="L41" i="15"/>
  <c r="C41" i="15"/>
  <c r="L40" i="15"/>
  <c r="C40" i="15"/>
  <c r="L39" i="15"/>
  <c r="C39" i="15"/>
  <c r="L38" i="15"/>
  <c r="C38" i="15"/>
  <c r="L37" i="15"/>
  <c r="L45" i="15" s="1"/>
  <c r="L50" i="15" s="1"/>
  <c r="C37" i="15"/>
  <c r="K32" i="15"/>
  <c r="K31" i="15"/>
  <c r="K23" i="15"/>
  <c r="L19" i="15"/>
  <c r="L7" i="15"/>
  <c r="L17" i="15" s="1"/>
  <c r="L22" i="15" s="1"/>
  <c r="B3" i="15"/>
  <c r="I118" i="14"/>
  <c r="I117" i="14"/>
  <c r="C109" i="14"/>
  <c r="C108" i="14"/>
  <c r="C107" i="14"/>
  <c r="C106" i="14"/>
  <c r="C105" i="14"/>
  <c r="L104" i="14"/>
  <c r="I95" i="14"/>
  <c r="I119" i="14" s="1"/>
  <c r="L90" i="14"/>
  <c r="J84" i="14"/>
  <c r="L82" i="14"/>
  <c r="L87" i="14" s="1"/>
  <c r="L109" i="14" s="1"/>
  <c r="K67" i="14"/>
  <c r="K66" i="14"/>
  <c r="K65" i="14"/>
  <c r="K64" i="14"/>
  <c r="K59" i="14"/>
  <c r="K54" i="14"/>
  <c r="L47" i="14"/>
  <c r="L43" i="14"/>
  <c r="C43" i="14"/>
  <c r="L42" i="14"/>
  <c r="C42" i="14"/>
  <c r="L41" i="14"/>
  <c r="C41" i="14"/>
  <c r="L40" i="14"/>
  <c r="C40" i="14"/>
  <c r="L39" i="14"/>
  <c r="C39" i="14"/>
  <c r="L38" i="14"/>
  <c r="C38" i="14"/>
  <c r="L37" i="14"/>
  <c r="L45" i="14" s="1"/>
  <c r="L50" i="14" s="1"/>
  <c r="C37" i="14"/>
  <c r="K32" i="14"/>
  <c r="K31" i="14"/>
  <c r="K23" i="14"/>
  <c r="L19" i="14"/>
  <c r="L7" i="14"/>
  <c r="L17" i="14" s="1"/>
  <c r="B3" i="14"/>
  <c r="I118" i="4"/>
  <c r="I117" i="4"/>
  <c r="C109" i="4"/>
  <c r="C108" i="4"/>
  <c r="C107" i="4"/>
  <c r="C106" i="4"/>
  <c r="C105" i="4"/>
  <c r="L104" i="4"/>
  <c r="I95" i="4"/>
  <c r="I119" i="4" s="1"/>
  <c r="L90" i="4"/>
  <c r="J84" i="4"/>
  <c r="L82" i="4"/>
  <c r="L87" i="4" s="1"/>
  <c r="L109" i="4" s="1"/>
  <c r="K67" i="4"/>
  <c r="K66" i="4"/>
  <c r="K65" i="4"/>
  <c r="K64" i="4"/>
  <c r="K59" i="4"/>
  <c r="K54" i="4"/>
  <c r="L47" i="4"/>
  <c r="L43" i="4"/>
  <c r="C43" i="4"/>
  <c r="L42" i="4"/>
  <c r="C42" i="4"/>
  <c r="L41" i="4"/>
  <c r="C41" i="4"/>
  <c r="L40" i="4"/>
  <c r="C40" i="4"/>
  <c r="L39" i="4"/>
  <c r="C39" i="4"/>
  <c r="L38" i="4"/>
  <c r="C38" i="4"/>
  <c r="L37" i="4"/>
  <c r="L45" i="4" s="1"/>
  <c r="L50" i="4" s="1"/>
  <c r="C37" i="4"/>
  <c r="K32" i="4"/>
  <c r="K31" i="4"/>
  <c r="K23" i="4"/>
  <c r="L19" i="4"/>
  <c r="L7" i="4"/>
  <c r="L17" i="4" s="1"/>
  <c r="B3" i="4"/>
  <c r="I118" i="13"/>
  <c r="I117" i="13"/>
  <c r="C109" i="13"/>
  <c r="C108" i="13"/>
  <c r="C107" i="13"/>
  <c r="C106" i="13"/>
  <c r="C105" i="13"/>
  <c r="L104" i="13"/>
  <c r="I95" i="13"/>
  <c r="I119" i="13" s="1"/>
  <c r="L90" i="13"/>
  <c r="J84" i="13"/>
  <c r="L82" i="13"/>
  <c r="L87" i="13" s="1"/>
  <c r="L109" i="13" s="1"/>
  <c r="K67" i="13"/>
  <c r="K66" i="13"/>
  <c r="K65" i="13"/>
  <c r="K64" i="13"/>
  <c r="K59" i="13"/>
  <c r="K54" i="13"/>
  <c r="L47" i="13"/>
  <c r="L43" i="13"/>
  <c r="C43" i="13"/>
  <c r="L42" i="13"/>
  <c r="C42" i="13"/>
  <c r="L41" i="13"/>
  <c r="C41" i="13"/>
  <c r="L40" i="13"/>
  <c r="C40" i="13"/>
  <c r="L39" i="13"/>
  <c r="C39" i="13"/>
  <c r="L38" i="13"/>
  <c r="C38" i="13"/>
  <c r="L37" i="13"/>
  <c r="L45" i="13" s="1"/>
  <c r="L50" i="13" s="1"/>
  <c r="C37" i="13"/>
  <c r="K32" i="13"/>
  <c r="K31" i="13"/>
  <c r="K23" i="13"/>
  <c r="L19" i="13"/>
  <c r="L7" i="13"/>
  <c r="L17" i="13" s="1"/>
  <c r="B3" i="13"/>
  <c r="AI2" i="27"/>
  <c r="AH2" i="27"/>
  <c r="AG2" i="27"/>
  <c r="AF2" i="27"/>
  <c r="AE2" i="27"/>
  <c r="AD2" i="27"/>
  <c r="AC2" i="27"/>
  <c r="AB2" i="27"/>
  <c r="AA2" i="27"/>
  <c r="Z2" i="27"/>
  <c r="Y2" i="27"/>
  <c r="X2" i="27"/>
  <c r="W2" i="27"/>
  <c r="V2" i="27"/>
  <c r="U2" i="27"/>
  <c r="T2" i="27"/>
  <c r="S2" i="27"/>
  <c r="R2" i="27"/>
  <c r="Q2" i="27"/>
  <c r="P2" i="27"/>
  <c r="O2" i="27"/>
  <c r="N2" i="27"/>
  <c r="M2" i="27"/>
  <c r="L2" i="27"/>
  <c r="K2" i="27"/>
  <c r="J2" i="27"/>
  <c r="I2" i="27"/>
  <c r="H2" i="27"/>
  <c r="G2" i="27"/>
  <c r="F2" i="27"/>
  <c r="E2" i="27"/>
  <c r="D2" i="27"/>
  <c r="K55" i="4" l="1"/>
  <c r="I120" i="19"/>
  <c r="L22" i="21"/>
  <c r="L21" i="15"/>
  <c r="L23" i="15" s="1"/>
  <c r="L48" i="15" s="1"/>
  <c r="L51" i="15" s="1"/>
  <c r="L106" i="15" s="1"/>
  <c r="I120" i="26"/>
  <c r="I120" i="14"/>
  <c r="L65" i="26"/>
  <c r="L33" i="15"/>
  <c r="L67" i="14"/>
  <c r="L64" i="15"/>
  <c r="L70" i="15" s="1"/>
  <c r="L77" i="15" s="1"/>
  <c r="L79" i="15" s="1"/>
  <c r="L108" i="15" s="1"/>
  <c r="L54" i="4"/>
  <c r="L60" i="4" s="1"/>
  <c r="L107" i="4" s="1"/>
  <c r="L54" i="21"/>
  <c r="L60" i="21" s="1"/>
  <c r="L107" i="21" s="1"/>
  <c r="L66" i="26"/>
  <c r="L32" i="4"/>
  <c r="L59" i="14"/>
  <c r="L59" i="21"/>
  <c r="L26" i="26"/>
  <c r="L34" i="26" s="1"/>
  <c r="L49" i="26" s="1"/>
  <c r="K34" i="4"/>
  <c r="K58" i="4" s="1"/>
  <c r="L58" i="4" s="1"/>
  <c r="L67" i="15"/>
  <c r="L64" i="21"/>
  <c r="L70" i="21" s="1"/>
  <c r="L77" i="21" s="1"/>
  <c r="L79" i="21" s="1"/>
  <c r="L108" i="21" s="1"/>
  <c r="L56" i="26"/>
  <c r="L54" i="15"/>
  <c r="L60" i="15" s="1"/>
  <c r="L107" i="15" s="1"/>
  <c r="L59" i="26"/>
  <c r="L54" i="13"/>
  <c r="L60" i="13" s="1"/>
  <c r="L107" i="13" s="1"/>
  <c r="L29" i="13"/>
  <c r="L26" i="13"/>
  <c r="L34" i="13" s="1"/>
  <c r="L49" i="13" s="1"/>
  <c r="L57" i="13"/>
  <c r="L105" i="13"/>
  <c r="L110" i="13" s="1"/>
  <c r="L91" i="13" s="1"/>
  <c r="L66" i="13"/>
  <c r="L21" i="13"/>
  <c r="L23" i="13" s="1"/>
  <c r="L48" i="13" s="1"/>
  <c r="L51" i="13" s="1"/>
  <c r="L106" i="13" s="1"/>
  <c r="L55" i="4"/>
  <c r="K56" i="4"/>
  <c r="L56" i="4" s="1"/>
  <c r="L32" i="13"/>
  <c r="L29" i="4"/>
  <c r="L30" i="4"/>
  <c r="L26" i="4"/>
  <c r="L34" i="4" s="1"/>
  <c r="L76" i="4" s="1"/>
  <c r="L21" i="4"/>
  <c r="L23" i="4" s="1"/>
  <c r="L48" i="4" s="1"/>
  <c r="L51" i="4" s="1"/>
  <c r="L106" i="4" s="1"/>
  <c r="L67" i="13"/>
  <c r="L64" i="13"/>
  <c r="L70" i="13" s="1"/>
  <c r="L77" i="13" s="1"/>
  <c r="L79" i="13" s="1"/>
  <c r="L108" i="13" s="1"/>
  <c r="I120" i="13"/>
  <c r="L59" i="4"/>
  <c r="L54" i="14"/>
  <c r="L60" i="14" s="1"/>
  <c r="L107" i="14" s="1"/>
  <c r="L59" i="15"/>
  <c r="I120" i="18"/>
  <c r="L21" i="21"/>
  <c r="L23" i="21" s="1"/>
  <c r="L48" i="21" s="1"/>
  <c r="L51" i="21" s="1"/>
  <c r="L106" i="21" s="1"/>
  <c r="L59" i="13"/>
  <c r="L66" i="15"/>
  <c r="G105" i="35"/>
  <c r="G106" i="35" s="1"/>
  <c r="E20" i="37"/>
  <c r="G20" i="37" s="1"/>
  <c r="L65" i="4"/>
  <c r="L67" i="4"/>
  <c r="L66" i="21"/>
  <c r="I120" i="4"/>
  <c r="I120" i="15"/>
  <c r="L67" i="21"/>
  <c r="I120" i="21"/>
  <c r="L31" i="26"/>
  <c r="I84" i="37"/>
  <c r="L76" i="13"/>
  <c r="L68" i="19"/>
  <c r="L30" i="19"/>
  <c r="L73" i="19"/>
  <c r="L74" i="19" s="1"/>
  <c r="L78" i="19" s="1"/>
  <c r="L27" i="19"/>
  <c r="L65" i="19"/>
  <c r="L29" i="19"/>
  <c r="L21" i="19"/>
  <c r="L23" i="19" s="1"/>
  <c r="L48" i="19" s="1"/>
  <c r="L51" i="19" s="1"/>
  <c r="L106" i="19" s="1"/>
  <c r="L57" i="19"/>
  <c r="L105" i="19"/>
  <c r="L110" i="19" s="1"/>
  <c r="L22" i="19"/>
  <c r="L64" i="19"/>
  <c r="L70" i="19" s="1"/>
  <c r="L77" i="19" s="1"/>
  <c r="L79" i="19" s="1"/>
  <c r="L108" i="19" s="1"/>
  <c r="L69" i="19"/>
  <c r="L28" i="19"/>
  <c r="L33" i="19"/>
  <c r="L26" i="19"/>
  <c r="L34" i="19" s="1"/>
  <c r="L32" i="19"/>
  <c r="L67" i="19"/>
  <c r="L54" i="19"/>
  <c r="L60" i="19" s="1"/>
  <c r="L107" i="19" s="1"/>
  <c r="L59" i="19"/>
  <c r="L73" i="14"/>
  <c r="L74" i="14" s="1"/>
  <c r="L78" i="14" s="1"/>
  <c r="L27" i="14"/>
  <c r="L68" i="14"/>
  <c r="L30" i="14"/>
  <c r="L65" i="14"/>
  <c r="L29" i="14"/>
  <c r="L21" i="14"/>
  <c r="L23" i="14" s="1"/>
  <c r="L48" i="14" s="1"/>
  <c r="L51" i="14" s="1"/>
  <c r="L106" i="14" s="1"/>
  <c r="L57" i="14"/>
  <c r="L105" i="14"/>
  <c r="L110" i="14" s="1"/>
  <c r="L22" i="14"/>
  <c r="L64" i="14"/>
  <c r="L70" i="14" s="1"/>
  <c r="L77" i="14" s="1"/>
  <c r="L79" i="14" s="1"/>
  <c r="L108" i="14" s="1"/>
  <c r="L69" i="14"/>
  <c r="L28" i="14"/>
  <c r="L33" i="14"/>
  <c r="L26" i="14"/>
  <c r="L34" i="14" s="1"/>
  <c r="L32" i="14"/>
  <c r="L73" i="18"/>
  <c r="L74" i="18" s="1"/>
  <c r="L78" i="18" s="1"/>
  <c r="L27" i="18"/>
  <c r="L68" i="18"/>
  <c r="L30" i="18"/>
  <c r="L105" i="18"/>
  <c r="L110" i="18" s="1"/>
  <c r="L26" i="18"/>
  <c r="L34" i="18" s="1"/>
  <c r="L33" i="18"/>
  <c r="L66" i="18"/>
  <c r="L22" i="13"/>
  <c r="K55" i="13"/>
  <c r="K34" i="13"/>
  <c r="K58" i="13" s="1"/>
  <c r="L58" i="13" s="1"/>
  <c r="L31" i="13"/>
  <c r="L65" i="13"/>
  <c r="L73" i="13"/>
  <c r="L74" i="13" s="1"/>
  <c r="L78" i="13" s="1"/>
  <c r="L68" i="15"/>
  <c r="L30" i="15"/>
  <c r="L73" i="15"/>
  <c r="L74" i="15" s="1"/>
  <c r="L78" i="15" s="1"/>
  <c r="L27" i="15"/>
  <c r="L69" i="15"/>
  <c r="L32" i="15"/>
  <c r="L26" i="15"/>
  <c r="L34" i="15" s="1"/>
  <c r="L28" i="15"/>
  <c r="L28" i="18"/>
  <c r="L59" i="18"/>
  <c r="L73" i="21"/>
  <c r="L74" i="21" s="1"/>
  <c r="L78" i="21" s="1"/>
  <c r="L27" i="21"/>
  <c r="L68" i="21"/>
  <c r="L30" i="21"/>
  <c r="L69" i="21"/>
  <c r="L32" i="21"/>
  <c r="L26" i="21"/>
  <c r="L34" i="21" s="1"/>
  <c r="L28" i="21"/>
  <c r="L69" i="26"/>
  <c r="L57" i="26"/>
  <c r="L28" i="26"/>
  <c r="L21" i="26"/>
  <c r="L23" i="26" s="1"/>
  <c r="L48" i="26" s="1"/>
  <c r="L51" i="26" s="1"/>
  <c r="L106" i="26" s="1"/>
  <c r="L68" i="26"/>
  <c r="L64" i="26"/>
  <c r="L70" i="26" s="1"/>
  <c r="L77" i="26" s="1"/>
  <c r="L79" i="26" s="1"/>
  <c r="L108" i="26" s="1"/>
  <c r="L29" i="26"/>
  <c r="L67" i="26"/>
  <c r="L33" i="26"/>
  <c r="L27" i="26"/>
  <c r="L22" i="26"/>
  <c r="L32" i="26"/>
  <c r="K34" i="26"/>
  <c r="K58" i="26" s="1"/>
  <c r="L58" i="26" s="1"/>
  <c r="L54" i="26"/>
  <c r="L60" i="26" s="1"/>
  <c r="L107" i="26" s="1"/>
  <c r="L73" i="4"/>
  <c r="L74" i="4" s="1"/>
  <c r="L78" i="4" s="1"/>
  <c r="L27" i="4"/>
  <c r="L105" i="4"/>
  <c r="L110" i="4" s="1"/>
  <c r="L68" i="4"/>
  <c r="L57" i="4"/>
  <c r="L28" i="4"/>
  <c r="L33" i="4"/>
  <c r="L64" i="4"/>
  <c r="L70" i="4" s="1"/>
  <c r="L77" i="4" s="1"/>
  <c r="L79" i="4" s="1"/>
  <c r="L108" i="4" s="1"/>
  <c r="L69" i="4"/>
  <c r="L29" i="15"/>
  <c r="L21" i="18"/>
  <c r="L23" i="18" s="1"/>
  <c r="L48" i="18" s="1"/>
  <c r="L51" i="18" s="1"/>
  <c r="L106" i="18" s="1"/>
  <c r="L29" i="18"/>
  <c r="L54" i="18"/>
  <c r="L60" i="18" s="1"/>
  <c r="L107" i="18" s="1"/>
  <c r="L67" i="18"/>
  <c r="L29" i="21"/>
  <c r="L105" i="21"/>
  <c r="L110" i="21" s="1"/>
  <c r="L9" i="26"/>
  <c r="L11" i="26" s="1"/>
  <c r="L13" i="26" s="1"/>
  <c r="L55" i="26"/>
  <c r="L73" i="26"/>
  <c r="L74" i="26" s="1"/>
  <c r="L78" i="26" s="1"/>
  <c r="K55" i="14"/>
  <c r="K34" i="14"/>
  <c r="K58" i="14" s="1"/>
  <c r="L58" i="14" s="1"/>
  <c r="K55" i="15"/>
  <c r="K34" i="15"/>
  <c r="K58" i="15" s="1"/>
  <c r="L58" i="15" s="1"/>
  <c r="L83" i="15"/>
  <c r="L84" i="15" s="1"/>
  <c r="L22" i="18"/>
  <c r="K55" i="18"/>
  <c r="K34" i="18"/>
  <c r="K58" i="18" s="1"/>
  <c r="L58" i="18" s="1"/>
  <c r="L31" i="18"/>
  <c r="L64" i="18"/>
  <c r="L70" i="18" s="1"/>
  <c r="L77" i="18" s="1"/>
  <c r="L79" i="18" s="1"/>
  <c r="L108" i="18" s="1"/>
  <c r="L69" i="18"/>
  <c r="K55" i="19"/>
  <c r="K34" i="19"/>
  <c r="K58" i="19" s="1"/>
  <c r="L58" i="19" s="1"/>
  <c r="K55" i="21"/>
  <c r="K34" i="21"/>
  <c r="K58" i="21" s="1"/>
  <c r="L58" i="21" s="1"/>
  <c r="L68" i="13"/>
  <c r="L30" i="13"/>
  <c r="L69" i="13"/>
  <c r="L27" i="13"/>
  <c r="L33" i="13"/>
  <c r="L92" i="13"/>
  <c r="J93" i="13" s="1"/>
  <c r="L112" i="13" s="1"/>
  <c r="L31" i="14"/>
  <c r="L31" i="15"/>
  <c r="L105" i="15"/>
  <c r="L110" i="15" s="1"/>
  <c r="L31" i="19"/>
  <c r="L31" i="21"/>
  <c r="L28" i="13"/>
  <c r="L22" i="4"/>
  <c r="L31" i="4"/>
  <c r="L66" i="4"/>
  <c r="L66" i="14"/>
  <c r="L57" i="15"/>
  <c r="L65" i="15"/>
  <c r="L32" i="18"/>
  <c r="L57" i="18"/>
  <c r="L65" i="18"/>
  <c r="L66" i="19"/>
  <c r="L57" i="21"/>
  <c r="L65" i="21"/>
  <c r="L105" i="26"/>
  <c r="L110" i="26" s="1"/>
  <c r="E50" i="37"/>
  <c r="G50" i="37" s="1"/>
  <c r="G15" i="37"/>
  <c r="G99" i="35"/>
  <c r="C97" i="37"/>
  <c r="G96" i="37" s="1"/>
  <c r="G10" i="37"/>
  <c r="G45" i="37"/>
  <c r="E95" i="35"/>
  <c r="G95" i="35" s="1"/>
  <c r="H86" i="37"/>
  <c r="C87" i="37"/>
  <c r="G86" i="37" s="1"/>
  <c r="E52" i="37"/>
  <c r="H91" i="37"/>
  <c r="I91" i="37" s="1"/>
  <c r="E22" i="37"/>
  <c r="C18" i="37"/>
  <c r="G17" i="37" s="1"/>
  <c r="C53" i="37"/>
  <c r="C28" i="37"/>
  <c r="C63" i="37"/>
  <c r="E47" i="37"/>
  <c r="G47" i="37" s="1"/>
  <c r="G89" i="37"/>
  <c r="I89" i="37" s="1"/>
  <c r="G104" i="37"/>
  <c r="G12" i="37"/>
  <c r="G4" i="35"/>
  <c r="E94" i="35"/>
  <c r="G94" i="35" s="1"/>
  <c r="E45" i="35"/>
  <c r="G45" i="35" s="1"/>
  <c r="G9" i="35"/>
  <c r="D24" i="35"/>
  <c r="E54" i="35"/>
  <c r="G54" i="35" s="1"/>
  <c r="D64" i="35"/>
  <c r="E64" i="35" s="1"/>
  <c r="G64" i="35" s="1"/>
  <c r="E55" i="35"/>
  <c r="G55" i="35" s="1"/>
  <c r="D65" i="35"/>
  <c r="E65" i="35" s="1"/>
  <c r="G65" i="35" s="1"/>
  <c r="D25" i="35"/>
  <c r="G10" i="35"/>
  <c r="G16" i="35"/>
  <c r="G5" i="35"/>
  <c r="D19" i="35"/>
  <c r="D20" i="35"/>
  <c r="E44" i="35"/>
  <c r="G44" i="35" s="1"/>
  <c r="D109" i="35"/>
  <c r="E109" i="35" s="1"/>
  <c r="G109" i="35" s="1"/>
  <c r="L76" i="26" l="1"/>
  <c r="L49" i="4"/>
  <c r="L83" i="4"/>
  <c r="L84" i="4" s="1"/>
  <c r="I86" i="37"/>
  <c r="I88" i="37" s="1"/>
  <c r="D141" i="37" s="1"/>
  <c r="G141" i="37" s="1"/>
  <c r="G144" i="37" s="1"/>
  <c r="L83" i="26"/>
  <c r="L84" i="26" s="1"/>
  <c r="L83" i="21"/>
  <c r="L84" i="21" s="1"/>
  <c r="E25" i="37"/>
  <c r="E55" i="37"/>
  <c r="G55" i="37" s="1"/>
  <c r="H94" i="37"/>
  <c r="I94" i="37" s="1"/>
  <c r="L83" i="13"/>
  <c r="L84" i="13" s="1"/>
  <c r="L91" i="18"/>
  <c r="L92" i="18"/>
  <c r="J93" i="18" s="1"/>
  <c r="L112" i="18" s="1"/>
  <c r="L76" i="14"/>
  <c r="L49" i="14"/>
  <c r="L76" i="19"/>
  <c r="L49" i="19"/>
  <c r="L76" i="15"/>
  <c r="L49" i="15"/>
  <c r="K56" i="13"/>
  <c r="L56" i="13" s="1"/>
  <c r="L55" i="13"/>
  <c r="L91" i="14"/>
  <c r="L92" i="14"/>
  <c r="L91" i="19"/>
  <c r="L92" i="19"/>
  <c r="L92" i="26"/>
  <c r="L91" i="26"/>
  <c r="K56" i="21"/>
  <c r="L56" i="21" s="1"/>
  <c r="L55" i="21"/>
  <c r="K56" i="15"/>
  <c r="L56" i="15" s="1"/>
  <c r="L55" i="15"/>
  <c r="L91" i="21"/>
  <c r="L92" i="21"/>
  <c r="G19" i="37"/>
  <c r="D126" i="37" s="1"/>
  <c r="G126" i="37" s="1"/>
  <c r="J99" i="13"/>
  <c r="J96" i="13"/>
  <c r="J100" i="13"/>
  <c r="J98" i="13"/>
  <c r="J97" i="13"/>
  <c r="L111" i="13"/>
  <c r="J95" i="13"/>
  <c r="L95" i="13" s="1"/>
  <c r="L101" i="13" s="1"/>
  <c r="L91" i="4"/>
  <c r="L92" i="4"/>
  <c r="L76" i="21"/>
  <c r="L49" i="21"/>
  <c r="K56" i="19"/>
  <c r="L56" i="19" s="1"/>
  <c r="L55" i="19"/>
  <c r="K56" i="18"/>
  <c r="L56" i="18" s="1"/>
  <c r="L55" i="18"/>
  <c r="K56" i="14"/>
  <c r="L56" i="14" s="1"/>
  <c r="L55" i="14"/>
  <c r="L83" i="14"/>
  <c r="L84" i="14" s="1"/>
  <c r="L83" i="19"/>
  <c r="L84" i="19" s="1"/>
  <c r="L91" i="15"/>
  <c r="L92" i="15"/>
  <c r="L83" i="18"/>
  <c r="L84" i="18" s="1"/>
  <c r="L76" i="18"/>
  <c r="L49" i="18"/>
  <c r="G49" i="37"/>
  <c r="D133" i="37" s="1"/>
  <c r="G133" i="37" s="1"/>
  <c r="G140" i="37" s="1"/>
  <c r="G6" i="35"/>
  <c r="G14" i="37"/>
  <c r="D125" i="37" s="1"/>
  <c r="G125" i="37" s="1"/>
  <c r="G132" i="37" s="1"/>
  <c r="G96" i="35"/>
  <c r="G46" i="35"/>
  <c r="H96" i="37"/>
  <c r="I96" i="37" s="1"/>
  <c r="E57" i="37"/>
  <c r="G57" i="37" s="1"/>
  <c r="E27" i="37"/>
  <c r="G22" i="37"/>
  <c r="G24" i="37" s="1"/>
  <c r="D127" i="37" s="1"/>
  <c r="G127" i="37" s="1"/>
  <c r="G11" i="35"/>
  <c r="I93" i="37"/>
  <c r="D142" i="37" s="1"/>
  <c r="G142" i="37" s="1"/>
  <c r="G52" i="37"/>
  <c r="G54" i="37" s="1"/>
  <c r="D134" i="37" s="1"/>
  <c r="G134" i="37" s="1"/>
  <c r="D34" i="35"/>
  <c r="G19" i="35"/>
  <c r="G66" i="35"/>
  <c r="G56" i="35"/>
  <c r="G25" i="35"/>
  <c r="D30" i="35"/>
  <c r="D29" i="35"/>
  <c r="G24" i="35"/>
  <c r="G20" i="35"/>
  <c r="D35" i="35"/>
  <c r="I98" i="37" l="1"/>
  <c r="D143" i="37" s="1"/>
  <c r="G143" i="37" s="1"/>
  <c r="J93" i="15"/>
  <c r="L112" i="15" s="1"/>
  <c r="J100" i="15" s="1"/>
  <c r="J93" i="14"/>
  <c r="L112" i="14" s="1"/>
  <c r="L111" i="14" s="1"/>
  <c r="J93" i="19"/>
  <c r="L112" i="19" s="1"/>
  <c r="J96" i="19" s="1"/>
  <c r="G59" i="37"/>
  <c r="D135" i="37" s="1"/>
  <c r="G135" i="37" s="1"/>
  <c r="J93" i="4"/>
  <c r="L112" i="4" s="1"/>
  <c r="L111" i="4" s="1"/>
  <c r="E60" i="37"/>
  <c r="G60" i="37" s="1"/>
  <c r="E65" i="37"/>
  <c r="G65" i="37" s="1"/>
  <c r="E30" i="37"/>
  <c r="H104" i="37"/>
  <c r="I104" i="37" s="1"/>
  <c r="G25" i="37"/>
  <c r="J93" i="21"/>
  <c r="L112" i="21" s="1"/>
  <c r="J100" i="21" s="1"/>
  <c r="J93" i="26"/>
  <c r="L112" i="26" s="1"/>
  <c r="J97" i="26" s="1"/>
  <c r="J99" i="15"/>
  <c r="J96" i="15"/>
  <c r="J97" i="15"/>
  <c r="J98" i="15"/>
  <c r="J99" i="14"/>
  <c r="J95" i="14"/>
  <c r="L95" i="14" s="1"/>
  <c r="L101" i="14" s="1"/>
  <c r="J100" i="14"/>
  <c r="L111" i="18"/>
  <c r="J96" i="18"/>
  <c r="J99" i="18"/>
  <c r="J97" i="18"/>
  <c r="J95" i="18"/>
  <c r="L95" i="18" s="1"/>
  <c r="L101" i="18" s="1"/>
  <c r="J100" i="18"/>
  <c r="J98" i="18"/>
  <c r="L111" i="26"/>
  <c r="J95" i="4"/>
  <c r="L95" i="4" s="1"/>
  <c r="L101" i="4" s="1"/>
  <c r="J98" i="4"/>
  <c r="J97" i="19"/>
  <c r="H106" i="37"/>
  <c r="I106" i="37" s="1"/>
  <c r="E67" i="37"/>
  <c r="G67" i="37" s="1"/>
  <c r="E32" i="37"/>
  <c r="G27" i="37"/>
  <c r="E62" i="37"/>
  <c r="G62" i="37" s="1"/>
  <c r="G26" i="35"/>
  <c r="D40" i="35"/>
  <c r="G35" i="35"/>
  <c r="D84" i="35"/>
  <c r="G84" i="35" s="1"/>
  <c r="G29" i="35"/>
  <c r="G21" i="35"/>
  <c r="D85" i="35"/>
  <c r="G85" i="35" s="1"/>
  <c r="G30" i="35"/>
  <c r="G34" i="35"/>
  <c r="D39" i="35"/>
  <c r="J100" i="4" l="1"/>
  <c r="J97" i="21"/>
  <c r="J95" i="15"/>
  <c r="L95" i="15" s="1"/>
  <c r="L101" i="15" s="1"/>
  <c r="L111" i="15"/>
  <c r="L111" i="19"/>
  <c r="J97" i="4"/>
  <c r="J98" i="19"/>
  <c r="J99" i="19"/>
  <c r="J99" i="21"/>
  <c r="J95" i="19"/>
  <c r="L95" i="19" s="1"/>
  <c r="L101" i="19" s="1"/>
  <c r="J97" i="14"/>
  <c r="J96" i="14"/>
  <c r="J100" i="19"/>
  <c r="J95" i="21"/>
  <c r="L95" i="21" s="1"/>
  <c r="L101" i="21" s="1"/>
  <c r="J98" i="14"/>
  <c r="J96" i="21"/>
  <c r="J99" i="4"/>
  <c r="J96" i="26"/>
  <c r="G29" i="37"/>
  <c r="D128" i="37" s="1"/>
  <c r="G128" i="37" s="1"/>
  <c r="J95" i="26"/>
  <c r="L95" i="26" s="1"/>
  <c r="L101" i="26" s="1"/>
  <c r="L111" i="21"/>
  <c r="J100" i="26"/>
  <c r="G64" i="37"/>
  <c r="D136" i="37" s="1"/>
  <c r="G136" i="37" s="1"/>
  <c r="I108" i="37"/>
  <c r="D145" i="37" s="1"/>
  <c r="G145" i="37" s="1"/>
  <c r="G146" i="37" s="1"/>
  <c r="J98" i="26"/>
  <c r="J96" i="4"/>
  <c r="J99" i="26"/>
  <c r="J98" i="21"/>
  <c r="G69" i="37"/>
  <c r="D137" i="37" s="1"/>
  <c r="G137" i="37" s="1"/>
  <c r="E35" i="37"/>
  <c r="G35" i="37" s="1"/>
  <c r="G30" i="37"/>
  <c r="E70" i="37"/>
  <c r="G36" i="35"/>
  <c r="G31" i="35"/>
  <c r="E72" i="37"/>
  <c r="E37" i="37"/>
  <c r="G37" i="37" s="1"/>
  <c r="G32" i="37"/>
  <c r="G39" i="35"/>
  <c r="D49" i="35"/>
  <c r="G86" i="35"/>
  <c r="D50" i="35"/>
  <c r="G40" i="35"/>
  <c r="G34" i="37" l="1"/>
  <c r="D129" i="37" s="1"/>
  <c r="G129" i="37" s="1"/>
  <c r="G39" i="37"/>
  <c r="D130" i="37" s="1"/>
  <c r="G130" i="37" s="1"/>
  <c r="G70" i="37"/>
  <c r="E114" i="37"/>
  <c r="G114" i="37" s="1"/>
  <c r="E116" i="37"/>
  <c r="G116" i="37" s="1"/>
  <c r="G72" i="37"/>
  <c r="D60" i="35"/>
  <c r="E50" i="35"/>
  <c r="G50" i="35" s="1"/>
  <c r="D59" i="35"/>
  <c r="E49" i="35"/>
  <c r="G49" i="35" s="1"/>
  <c r="G41" i="35"/>
  <c r="G74" i="37" l="1"/>
  <c r="D138" i="37" s="1"/>
  <c r="G138" i="37" s="1"/>
  <c r="G118" i="37"/>
  <c r="D147" i="37" s="1"/>
  <c r="G147" i="37" s="1"/>
  <c r="G148" i="37" s="1"/>
  <c r="G149" i="37" s="1"/>
  <c r="G151" i="37" s="1"/>
  <c r="G51" i="35"/>
  <c r="D79" i="35"/>
  <c r="D69" i="35"/>
  <c r="G59" i="35"/>
  <c r="D70" i="35"/>
  <c r="G60" i="35"/>
  <c r="D80" i="35"/>
  <c r="E156" i="37" l="1"/>
  <c r="E157" i="37" s="1"/>
  <c r="E70" i="35"/>
  <c r="G70" i="35" s="1"/>
  <c r="D75" i="35"/>
  <c r="E75" i="35" s="1"/>
  <c r="G75" i="35" s="1"/>
  <c r="D90" i="35"/>
  <c r="G80" i="35"/>
  <c r="G61" i="35"/>
  <c r="D74" i="35"/>
  <c r="E74" i="35" s="1"/>
  <c r="G74" i="35" s="1"/>
  <c r="E69" i="35"/>
  <c r="G69" i="35" s="1"/>
  <c r="D89" i="35"/>
  <c r="G89" i="35" s="1"/>
  <c r="G79" i="35"/>
  <c r="G71" i="35" l="1"/>
  <c r="G76" i="35"/>
  <c r="G81" i="35"/>
  <c r="G90" i="35"/>
  <c r="G91" i="35" s="1"/>
  <c r="D100" i="35"/>
  <c r="E100" i="35" l="1"/>
  <c r="G100" i="35" s="1"/>
  <c r="G101" i="35" s="1"/>
  <c r="D110" i="35"/>
  <c r="E110" i="35" s="1"/>
  <c r="G110" i="35" s="1"/>
  <c r="G111" i="35" s="1"/>
</calcChain>
</file>

<file path=xl/comments1.xml><?xml version="1.0" encoding="utf-8"?>
<comments xmlns="http://schemas.openxmlformats.org/spreadsheetml/2006/main">
  <authors>
    <author/>
    <author>Vanessa Ávila De Souza</author>
  </authors>
  <commentList>
    <comment ref="H32" authorId="0" shapeId="0">
      <text>
        <r>
          <rPr>
            <b/>
            <sz val="9"/>
            <color indexed="8"/>
            <rFont val="Segoe UI"/>
            <family val="2"/>
          </rPr>
          <t xml:space="preserve">Riscos Ambientais do Trabalho: 1%, 2% ou 3%
</t>
        </r>
      </text>
    </comment>
    <comment ref="J32" authorId="0" shapeId="0">
      <text>
        <r>
          <rPr>
            <b/>
            <sz val="9"/>
            <color indexed="8"/>
            <rFont val="Segoe UI"/>
            <family val="2"/>
          </rPr>
          <t>Fator Acidentário de Prevenção: 0,5 a 2.</t>
        </r>
      </text>
    </comment>
    <comment ref="I54" authorId="0" shapeId="0">
      <text>
        <r>
          <rPr>
            <b/>
            <sz val="9"/>
            <color indexed="8"/>
            <rFont val="Segoe UI"/>
            <family val="2"/>
          </rPr>
          <t>número de dias de indenização (33 = considerando 1 ano de tempo de serviço, sem completar 2 anos) - obs: acresce 3 meses a cada ano adicional completado.</t>
        </r>
      </text>
    </comment>
    <comment ref="J54" authorId="0" shapeId="0">
      <text>
        <r>
          <rPr>
            <b/>
            <sz val="9"/>
            <color indexed="8"/>
            <rFont val="Segoe UI"/>
            <family val="2"/>
          </rPr>
          <t>Percentual de funcionários demitidos por ano com API</t>
        </r>
      </text>
    </comment>
    <comment ref="I66" authorId="1" shapeId="0">
      <text>
        <r>
          <rPr>
            <b/>
            <sz val="8"/>
            <color indexed="81"/>
            <rFont val="Tahoma"/>
            <family val="2"/>
          </rPr>
          <t>Percentual de funcionários que se ausentam por licença paternidade no ano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6" authorId="0" shapeId="0">
      <text>
        <r>
          <rPr>
            <b/>
            <sz val="9"/>
            <color indexed="8"/>
            <rFont val="Segoe UI"/>
            <family val="2"/>
          </rPr>
          <t>Dias licença paternidade</t>
        </r>
      </text>
    </comment>
    <comment ref="J68" authorId="0" shapeId="0">
      <text>
        <r>
          <rPr>
            <b/>
            <sz val="9"/>
            <color indexed="8"/>
            <rFont val="Segoe UI"/>
            <family val="2"/>
          </rPr>
          <t>Percentual de funcionários acidentados no ano</t>
        </r>
      </text>
    </comment>
  </commentList>
</comments>
</file>

<file path=xl/comments10.xml><?xml version="1.0" encoding="utf-8"?>
<comments xmlns="http://schemas.openxmlformats.org/spreadsheetml/2006/main">
  <authors>
    <author/>
    <author>Vanessa Ávila De Souza</author>
  </authors>
  <commentList>
    <comment ref="G26" authorId="0" shapeId="0">
      <text>
        <r>
          <rPr>
            <b/>
            <sz val="9"/>
            <color indexed="8"/>
            <rFont val="Segoe UI"/>
            <family val="2"/>
          </rPr>
          <t xml:space="preserve">Riscos Ambientais do Trabalho: 1%, 2% ou 3%
</t>
        </r>
      </text>
    </comment>
    <comment ref="I26" authorId="0" shapeId="0">
      <text>
        <r>
          <rPr>
            <b/>
            <sz val="9"/>
            <color indexed="8"/>
            <rFont val="Segoe UI"/>
            <family val="2"/>
          </rPr>
          <t>Fator Acidentário de Prevenção: 0,5 a 2.</t>
        </r>
      </text>
    </comment>
    <comment ref="H46" authorId="0" shapeId="0">
      <text>
        <r>
          <rPr>
            <b/>
            <sz val="9"/>
            <color indexed="8"/>
            <rFont val="Segoe UI"/>
            <family val="2"/>
          </rPr>
          <t>número de dias de indenização (33 = considerando 1 ano de tempo de serviço, sem completar 2 anos) - obs: acresce 3 meses a cada ano adicional completado.</t>
        </r>
      </text>
    </comment>
    <comment ref="I46" authorId="0" shapeId="0">
      <text>
        <r>
          <rPr>
            <b/>
            <sz val="9"/>
            <color indexed="8"/>
            <rFont val="Segoe UI"/>
            <family val="2"/>
          </rPr>
          <t>Percentual de funcionários demitidos por ano com API</t>
        </r>
      </text>
    </comment>
    <comment ref="H56" authorId="1" shapeId="0">
      <text>
        <r>
          <rPr>
            <b/>
            <sz val="8"/>
            <color indexed="81"/>
            <rFont val="Tahoma"/>
            <family val="2"/>
          </rPr>
          <t>Percentual de funcionários que se ausentam por licença paternidade no ano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6" authorId="0" shapeId="0">
      <text>
        <r>
          <rPr>
            <b/>
            <sz val="9"/>
            <color indexed="8"/>
            <rFont val="Segoe UI"/>
            <family val="2"/>
          </rPr>
          <t>Dias licença paternidade</t>
        </r>
      </text>
    </comment>
    <comment ref="I58" authorId="0" shapeId="0">
      <text>
        <r>
          <rPr>
            <b/>
            <sz val="9"/>
            <color indexed="8"/>
            <rFont val="Segoe UI"/>
            <family val="2"/>
          </rPr>
          <t>Percentual de funcionários acidentados no ano</t>
        </r>
      </text>
    </comment>
  </commentList>
</comments>
</file>

<file path=xl/comments2.xml><?xml version="1.0" encoding="utf-8"?>
<comments xmlns="http://schemas.openxmlformats.org/spreadsheetml/2006/main">
  <authors>
    <author/>
    <author>Vanessa Ávila De Souza</author>
  </authors>
  <commentList>
    <comment ref="H32" authorId="0" shapeId="0">
      <text>
        <r>
          <rPr>
            <b/>
            <sz val="9"/>
            <color indexed="8"/>
            <rFont val="Segoe UI"/>
            <family val="2"/>
          </rPr>
          <t xml:space="preserve">Riscos Ambientais do Trabalho: 1%, 2% ou 3%
</t>
        </r>
      </text>
    </comment>
    <comment ref="J32" authorId="0" shapeId="0">
      <text>
        <r>
          <rPr>
            <b/>
            <sz val="9"/>
            <color indexed="8"/>
            <rFont val="Segoe UI"/>
            <family val="2"/>
          </rPr>
          <t>Fator Acidentário de Prevenção: 0,5 a 2.</t>
        </r>
      </text>
    </comment>
    <comment ref="I54" authorId="0" shapeId="0">
      <text>
        <r>
          <rPr>
            <b/>
            <sz val="9"/>
            <color indexed="8"/>
            <rFont val="Segoe UI"/>
            <family val="2"/>
          </rPr>
          <t>número de dias de indenização (33 = considerando 1 ano de tempo de serviço, sem completar 2 anos) - obs: acresce 3 meses a cada ano adicional completado.</t>
        </r>
      </text>
    </comment>
    <comment ref="J54" authorId="0" shapeId="0">
      <text>
        <r>
          <rPr>
            <b/>
            <sz val="9"/>
            <color indexed="8"/>
            <rFont val="Segoe UI"/>
            <family val="2"/>
          </rPr>
          <t>Percentual de funcionários demitidos por ano com API</t>
        </r>
      </text>
    </comment>
    <comment ref="I66" authorId="1" shapeId="0">
      <text>
        <r>
          <rPr>
            <b/>
            <sz val="8"/>
            <color indexed="81"/>
            <rFont val="Tahoma"/>
            <family val="2"/>
          </rPr>
          <t>Percentual de funcionários que se ausentam por licença paternidade no ano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6" authorId="0" shapeId="0">
      <text>
        <r>
          <rPr>
            <b/>
            <sz val="9"/>
            <color indexed="8"/>
            <rFont val="Segoe UI"/>
            <family val="2"/>
          </rPr>
          <t>Dias licença paternidade</t>
        </r>
      </text>
    </comment>
    <comment ref="J68" authorId="0" shapeId="0">
      <text>
        <r>
          <rPr>
            <b/>
            <sz val="9"/>
            <color indexed="8"/>
            <rFont val="Segoe UI"/>
            <family val="2"/>
          </rPr>
          <t>Percentual de funcionários acidentados no ano</t>
        </r>
      </text>
    </comment>
  </commentList>
</comments>
</file>

<file path=xl/comments3.xml><?xml version="1.0" encoding="utf-8"?>
<comments xmlns="http://schemas.openxmlformats.org/spreadsheetml/2006/main">
  <authors>
    <author/>
    <author>Vanessa Ávila De Souza</author>
  </authors>
  <commentList>
    <comment ref="H32" authorId="0" shapeId="0">
      <text>
        <r>
          <rPr>
            <b/>
            <sz val="9"/>
            <color indexed="8"/>
            <rFont val="Segoe UI"/>
            <family val="2"/>
          </rPr>
          <t xml:space="preserve">Riscos Ambientais do Trabalho: 1%, 2% ou 3%
</t>
        </r>
      </text>
    </comment>
    <comment ref="J32" authorId="0" shapeId="0">
      <text>
        <r>
          <rPr>
            <b/>
            <sz val="9"/>
            <color indexed="8"/>
            <rFont val="Segoe UI"/>
            <family val="2"/>
          </rPr>
          <t>Fator Acidentário de Prevenção: 0,5 a 2.</t>
        </r>
      </text>
    </comment>
    <comment ref="I54" authorId="0" shapeId="0">
      <text>
        <r>
          <rPr>
            <b/>
            <sz val="9"/>
            <color indexed="8"/>
            <rFont val="Segoe UI"/>
            <family val="2"/>
          </rPr>
          <t>número de dias de indenização (33 = considerando 1 ano de tempo de serviço, sem completar 2 anos) - obs: acresce 3 meses a cada ano adicional completado.</t>
        </r>
      </text>
    </comment>
    <comment ref="J54" authorId="0" shapeId="0">
      <text>
        <r>
          <rPr>
            <b/>
            <sz val="9"/>
            <color indexed="8"/>
            <rFont val="Segoe UI"/>
            <family val="2"/>
          </rPr>
          <t>Percentual de funcionários demitidos por ano com API</t>
        </r>
      </text>
    </comment>
    <comment ref="I66" authorId="1" shapeId="0">
      <text>
        <r>
          <rPr>
            <b/>
            <sz val="8"/>
            <color indexed="81"/>
            <rFont val="Tahoma"/>
            <family val="2"/>
          </rPr>
          <t>Percentual de funcionários que se ausentam por licença paternidade no ano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6" authorId="0" shapeId="0">
      <text>
        <r>
          <rPr>
            <b/>
            <sz val="9"/>
            <color indexed="8"/>
            <rFont val="Segoe UI"/>
            <family val="2"/>
          </rPr>
          <t>Dias licença paternidade</t>
        </r>
      </text>
    </comment>
    <comment ref="J68" authorId="0" shapeId="0">
      <text>
        <r>
          <rPr>
            <b/>
            <sz val="9"/>
            <color indexed="8"/>
            <rFont val="Segoe UI"/>
            <family val="2"/>
          </rPr>
          <t>Percentual de funcionários acidentados no ano</t>
        </r>
      </text>
    </comment>
  </commentList>
</comments>
</file>

<file path=xl/comments4.xml><?xml version="1.0" encoding="utf-8"?>
<comments xmlns="http://schemas.openxmlformats.org/spreadsheetml/2006/main">
  <authors>
    <author/>
    <author>Vanessa Ávila De Souza</author>
  </authors>
  <commentList>
    <comment ref="H32" authorId="0" shapeId="0">
      <text>
        <r>
          <rPr>
            <b/>
            <sz val="9"/>
            <color indexed="8"/>
            <rFont val="Segoe UI"/>
            <family val="2"/>
          </rPr>
          <t xml:space="preserve">Riscos Ambientais do Trabalho: 1%, 2% ou 3%
</t>
        </r>
      </text>
    </comment>
    <comment ref="J32" authorId="0" shapeId="0">
      <text>
        <r>
          <rPr>
            <b/>
            <sz val="9"/>
            <color indexed="8"/>
            <rFont val="Segoe UI"/>
            <family val="2"/>
          </rPr>
          <t>Fator Acidentário de Prevenção: 0,5 a 2.</t>
        </r>
      </text>
    </comment>
    <comment ref="I54" authorId="0" shapeId="0">
      <text>
        <r>
          <rPr>
            <b/>
            <sz val="9"/>
            <color indexed="8"/>
            <rFont val="Segoe UI"/>
            <family val="2"/>
          </rPr>
          <t>número de dias de indenização (33 = considerando 1 ano de tempo de serviço, sem completar 2 anos) - obs: acresce 3 meses a cada ano adicional completado.</t>
        </r>
      </text>
    </comment>
    <comment ref="J54" authorId="0" shapeId="0">
      <text>
        <r>
          <rPr>
            <b/>
            <sz val="9"/>
            <color indexed="8"/>
            <rFont val="Segoe UI"/>
            <family val="2"/>
          </rPr>
          <t>Percentual de funcionários demitidos por ano com API</t>
        </r>
      </text>
    </comment>
    <comment ref="I66" authorId="1" shapeId="0">
      <text>
        <r>
          <rPr>
            <b/>
            <sz val="8"/>
            <color indexed="81"/>
            <rFont val="Tahoma"/>
            <family val="2"/>
          </rPr>
          <t>Percentual de funcionários que se ausentam por licença paternidade no ano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6" authorId="0" shapeId="0">
      <text>
        <r>
          <rPr>
            <b/>
            <sz val="9"/>
            <color indexed="8"/>
            <rFont val="Segoe UI"/>
            <family val="2"/>
          </rPr>
          <t>Dias licença paternidade</t>
        </r>
      </text>
    </comment>
    <comment ref="J68" authorId="0" shapeId="0">
      <text>
        <r>
          <rPr>
            <b/>
            <sz val="9"/>
            <color indexed="8"/>
            <rFont val="Segoe UI"/>
            <family val="2"/>
          </rPr>
          <t>Percentual de funcionários acidentados no ano</t>
        </r>
      </text>
    </comment>
  </commentList>
</comments>
</file>

<file path=xl/comments5.xml><?xml version="1.0" encoding="utf-8"?>
<comments xmlns="http://schemas.openxmlformats.org/spreadsheetml/2006/main">
  <authors>
    <author/>
    <author>Vanessa Ávila De Souza</author>
  </authors>
  <commentList>
    <comment ref="H32" authorId="0" shapeId="0">
      <text>
        <r>
          <rPr>
            <b/>
            <sz val="9"/>
            <color indexed="8"/>
            <rFont val="Segoe UI"/>
            <family val="2"/>
          </rPr>
          <t xml:space="preserve">Riscos Ambientais do Trabalho: 1%, 2% ou 3%
</t>
        </r>
      </text>
    </comment>
    <comment ref="J32" authorId="0" shapeId="0">
      <text>
        <r>
          <rPr>
            <b/>
            <sz val="9"/>
            <color indexed="8"/>
            <rFont val="Segoe UI"/>
            <family val="2"/>
          </rPr>
          <t>Fator Acidentário de Prevenção: 0,5 a 2.</t>
        </r>
      </text>
    </comment>
    <comment ref="I54" authorId="0" shapeId="0">
      <text>
        <r>
          <rPr>
            <b/>
            <sz val="9"/>
            <color indexed="8"/>
            <rFont val="Segoe UI"/>
            <family val="2"/>
          </rPr>
          <t>número de dias de indenização (33 = considerando 1 ano de tempo de serviço, sem completar 2 anos) - obs: acresce 3 meses a cada ano adicional completado.</t>
        </r>
      </text>
    </comment>
    <comment ref="J54" authorId="0" shapeId="0">
      <text>
        <r>
          <rPr>
            <b/>
            <sz val="9"/>
            <color indexed="8"/>
            <rFont val="Segoe UI"/>
            <family val="2"/>
          </rPr>
          <t>Percentual de funcionários demitidos por ano com API</t>
        </r>
      </text>
    </comment>
    <comment ref="I66" authorId="1" shapeId="0">
      <text>
        <r>
          <rPr>
            <b/>
            <sz val="8"/>
            <color indexed="81"/>
            <rFont val="Tahoma"/>
            <family val="2"/>
          </rPr>
          <t>Percentual de funcionários que se ausentam por licença paternidade no ano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6" authorId="0" shapeId="0">
      <text>
        <r>
          <rPr>
            <b/>
            <sz val="9"/>
            <color indexed="8"/>
            <rFont val="Segoe UI"/>
            <family val="2"/>
          </rPr>
          <t>Dias licença paternidade</t>
        </r>
      </text>
    </comment>
    <comment ref="J68" authorId="0" shapeId="0">
      <text>
        <r>
          <rPr>
            <b/>
            <sz val="9"/>
            <color indexed="8"/>
            <rFont val="Segoe UI"/>
            <family val="2"/>
          </rPr>
          <t>Percentual de funcionários acidentados no ano</t>
        </r>
      </text>
    </comment>
  </commentList>
</comments>
</file>

<file path=xl/comments6.xml><?xml version="1.0" encoding="utf-8"?>
<comments xmlns="http://schemas.openxmlformats.org/spreadsheetml/2006/main">
  <authors>
    <author/>
    <author>Vanessa Ávila De Souza</author>
  </authors>
  <commentList>
    <comment ref="H32" authorId="0" shapeId="0">
      <text>
        <r>
          <rPr>
            <b/>
            <sz val="9"/>
            <color indexed="8"/>
            <rFont val="Segoe UI"/>
            <family val="2"/>
          </rPr>
          <t xml:space="preserve">Riscos Ambientais do Trabalho: 1%, 2% ou 3%
</t>
        </r>
      </text>
    </comment>
    <comment ref="J32" authorId="0" shapeId="0">
      <text>
        <r>
          <rPr>
            <b/>
            <sz val="9"/>
            <color indexed="8"/>
            <rFont val="Segoe UI"/>
            <family val="2"/>
          </rPr>
          <t>Fator Acidentário de Prevenção: 0,5 a 2.</t>
        </r>
      </text>
    </comment>
    <comment ref="I54" authorId="0" shapeId="0">
      <text>
        <r>
          <rPr>
            <b/>
            <sz val="9"/>
            <color indexed="8"/>
            <rFont val="Segoe UI"/>
            <family val="2"/>
          </rPr>
          <t>número de dias de indenização (33 = considerando 1 ano de tempo de serviço, sem completar 2 anos) - obs: acresce 3 meses a cada ano adicional completado.</t>
        </r>
      </text>
    </comment>
    <comment ref="J54" authorId="0" shapeId="0">
      <text>
        <r>
          <rPr>
            <b/>
            <sz val="9"/>
            <color indexed="8"/>
            <rFont val="Segoe UI"/>
            <family val="2"/>
          </rPr>
          <t>Percentual de funcionários demitidos por ano com API</t>
        </r>
      </text>
    </comment>
    <comment ref="I66" authorId="1" shapeId="0">
      <text>
        <r>
          <rPr>
            <b/>
            <sz val="8"/>
            <color indexed="81"/>
            <rFont val="Tahoma"/>
            <family val="2"/>
          </rPr>
          <t>Percentual de funcionários que se ausentam por licença paternidade no ano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6" authorId="0" shapeId="0">
      <text>
        <r>
          <rPr>
            <b/>
            <sz val="9"/>
            <color indexed="8"/>
            <rFont val="Segoe UI"/>
            <family val="2"/>
          </rPr>
          <t>Dias licença paternidade</t>
        </r>
      </text>
    </comment>
    <comment ref="J68" authorId="0" shapeId="0">
      <text>
        <r>
          <rPr>
            <b/>
            <sz val="9"/>
            <color indexed="8"/>
            <rFont val="Segoe UI"/>
            <family val="2"/>
          </rPr>
          <t>Percentual de funcionários acidentados no ano</t>
        </r>
      </text>
    </comment>
  </commentList>
</comments>
</file>

<file path=xl/comments7.xml><?xml version="1.0" encoding="utf-8"?>
<comments xmlns="http://schemas.openxmlformats.org/spreadsheetml/2006/main">
  <authors>
    <author/>
    <author>Vanessa Ávila De Souza</author>
  </authors>
  <commentList>
    <comment ref="H32" authorId="0" shapeId="0">
      <text>
        <r>
          <rPr>
            <b/>
            <sz val="9"/>
            <color indexed="8"/>
            <rFont val="Segoe UI"/>
            <family val="2"/>
          </rPr>
          <t xml:space="preserve">Riscos Ambientais do Trabalho: 1%, 2% ou 3%
</t>
        </r>
      </text>
    </comment>
    <comment ref="J32" authorId="0" shapeId="0">
      <text>
        <r>
          <rPr>
            <b/>
            <sz val="9"/>
            <color indexed="8"/>
            <rFont val="Segoe UI"/>
            <family val="2"/>
          </rPr>
          <t>Fator Acidentário de Prevenção: 0,5 a 2.</t>
        </r>
      </text>
    </comment>
    <comment ref="I54" authorId="0" shapeId="0">
      <text>
        <r>
          <rPr>
            <b/>
            <sz val="9"/>
            <color indexed="8"/>
            <rFont val="Segoe UI"/>
            <family val="2"/>
          </rPr>
          <t>número de dias de indenização (33 = considerando 1 ano de tempo de serviço, sem completar 2 anos) - obs: acresce 3 meses a cada ano adicional completado.</t>
        </r>
      </text>
    </comment>
    <comment ref="J54" authorId="0" shapeId="0">
      <text>
        <r>
          <rPr>
            <b/>
            <sz val="9"/>
            <color indexed="8"/>
            <rFont val="Segoe UI"/>
            <family val="2"/>
          </rPr>
          <t>Percentual de funcionários demitidos por ano com API</t>
        </r>
      </text>
    </comment>
    <comment ref="I66" authorId="1" shapeId="0">
      <text>
        <r>
          <rPr>
            <b/>
            <sz val="8"/>
            <color indexed="81"/>
            <rFont val="Tahoma"/>
            <family val="2"/>
          </rPr>
          <t>Percentual de funcionários que se ausentam por licença paternidade no ano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6" authorId="0" shapeId="0">
      <text>
        <r>
          <rPr>
            <b/>
            <sz val="9"/>
            <color indexed="8"/>
            <rFont val="Segoe UI"/>
            <family val="2"/>
          </rPr>
          <t>Dias licença paternidade</t>
        </r>
      </text>
    </comment>
    <comment ref="J68" authorId="0" shapeId="0">
      <text>
        <r>
          <rPr>
            <b/>
            <sz val="9"/>
            <color indexed="8"/>
            <rFont val="Segoe UI"/>
            <family val="2"/>
          </rPr>
          <t>Percentual de funcionários acidentados no ano</t>
        </r>
      </text>
    </comment>
  </commentList>
</comments>
</file>

<file path=xl/comments8.xml><?xml version="1.0" encoding="utf-8"?>
<comments xmlns="http://schemas.openxmlformats.org/spreadsheetml/2006/main">
  <authors>
    <author/>
    <author>Vanessa Ávila De Souza</author>
  </authors>
  <commentList>
    <comment ref="H32" authorId="0" shapeId="0">
      <text>
        <r>
          <rPr>
            <b/>
            <sz val="9"/>
            <color indexed="8"/>
            <rFont val="Segoe UI"/>
            <family val="2"/>
          </rPr>
          <t xml:space="preserve">Riscos Ambientais do Trabalho: 1%, 2% ou 3%
</t>
        </r>
      </text>
    </comment>
    <comment ref="J32" authorId="0" shapeId="0">
      <text>
        <r>
          <rPr>
            <b/>
            <sz val="9"/>
            <color indexed="8"/>
            <rFont val="Segoe UI"/>
            <family val="2"/>
          </rPr>
          <t>Fator Acidentário de Prevenção: 0,5 a 2.</t>
        </r>
      </text>
    </comment>
    <comment ref="I54" authorId="0" shapeId="0">
      <text>
        <r>
          <rPr>
            <b/>
            <sz val="9"/>
            <color indexed="8"/>
            <rFont val="Segoe UI"/>
            <family val="2"/>
          </rPr>
          <t>número de dias de indenização (33 = considerando 1 ano de tempo de serviço, sem completar 2 anos) - obs: acresce 3 meses a cada ano adicional completado.</t>
        </r>
      </text>
    </comment>
    <comment ref="J54" authorId="0" shapeId="0">
      <text>
        <r>
          <rPr>
            <b/>
            <sz val="9"/>
            <color indexed="8"/>
            <rFont val="Segoe UI"/>
            <family val="2"/>
          </rPr>
          <t>Percentual de funcionários demitidos por ano com API</t>
        </r>
      </text>
    </comment>
    <comment ref="I66" authorId="1" shapeId="0">
      <text>
        <r>
          <rPr>
            <b/>
            <sz val="8"/>
            <color indexed="81"/>
            <rFont val="Tahoma"/>
            <family val="2"/>
          </rPr>
          <t>Percentual de funcionários que se ausentam por licença paternidade no ano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6" authorId="0" shapeId="0">
      <text>
        <r>
          <rPr>
            <b/>
            <sz val="9"/>
            <color indexed="8"/>
            <rFont val="Segoe UI"/>
            <family val="2"/>
          </rPr>
          <t>Dias licença paternidade</t>
        </r>
      </text>
    </comment>
    <comment ref="J68" authorId="0" shapeId="0">
      <text>
        <r>
          <rPr>
            <b/>
            <sz val="9"/>
            <color indexed="8"/>
            <rFont val="Segoe UI"/>
            <family val="2"/>
          </rPr>
          <t>Percentual de funcionários acidentados no ano</t>
        </r>
      </text>
    </comment>
  </commentList>
</comments>
</file>

<file path=xl/comments9.xml><?xml version="1.0" encoding="utf-8"?>
<comments xmlns="http://schemas.openxmlformats.org/spreadsheetml/2006/main">
  <authors>
    <author/>
    <author>Vanessa Ávila De Souza</author>
  </authors>
  <commentList>
    <comment ref="G26" authorId="0" shapeId="0">
      <text>
        <r>
          <rPr>
            <b/>
            <sz val="9"/>
            <color indexed="8"/>
            <rFont val="Segoe UI"/>
            <family val="2"/>
          </rPr>
          <t xml:space="preserve">Riscos Ambientais do Trabalho: 1%, 2% ou 3%
</t>
        </r>
      </text>
    </comment>
    <comment ref="I26" authorId="0" shapeId="0">
      <text>
        <r>
          <rPr>
            <b/>
            <sz val="9"/>
            <color indexed="8"/>
            <rFont val="Segoe UI"/>
            <family val="2"/>
          </rPr>
          <t>Fator Acidentário de Prevenção: 0,5 a 2.</t>
        </r>
      </text>
    </comment>
    <comment ref="H46" authorId="0" shapeId="0">
      <text>
        <r>
          <rPr>
            <b/>
            <sz val="9"/>
            <color indexed="8"/>
            <rFont val="Segoe UI"/>
            <family val="2"/>
          </rPr>
          <t>número de dias de indenização (33 = considerando 1 ano de tempo de serviço, sem completar 2 anos) - obs: acresce 3 meses a cada ano adicional completado.</t>
        </r>
      </text>
    </comment>
    <comment ref="I46" authorId="0" shapeId="0">
      <text>
        <r>
          <rPr>
            <b/>
            <sz val="9"/>
            <color indexed="8"/>
            <rFont val="Segoe UI"/>
            <family val="2"/>
          </rPr>
          <t>Percentual de funcionários demitidos por ano com API</t>
        </r>
      </text>
    </comment>
    <comment ref="H56" authorId="1" shapeId="0">
      <text>
        <r>
          <rPr>
            <b/>
            <sz val="8"/>
            <color indexed="81"/>
            <rFont val="Tahoma"/>
            <family val="2"/>
          </rPr>
          <t>Percentual de funcionários que se ausentam por licença paternidade no ano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6" authorId="0" shapeId="0">
      <text>
        <r>
          <rPr>
            <b/>
            <sz val="9"/>
            <color indexed="8"/>
            <rFont val="Segoe UI"/>
            <family val="2"/>
          </rPr>
          <t>Dias licença paternidade</t>
        </r>
      </text>
    </comment>
    <comment ref="I58" authorId="0" shapeId="0">
      <text>
        <r>
          <rPr>
            <b/>
            <sz val="9"/>
            <color indexed="8"/>
            <rFont val="Segoe UI"/>
            <family val="2"/>
          </rPr>
          <t>Percentual de funcionários acidentados no ano</t>
        </r>
      </text>
    </comment>
  </commentList>
</comments>
</file>

<file path=xl/sharedStrings.xml><?xml version="1.0" encoding="utf-8"?>
<sst xmlns="http://schemas.openxmlformats.org/spreadsheetml/2006/main" count="2518" uniqueCount="459">
  <si>
    <t>Outros (especificar)</t>
  </si>
  <si>
    <t>F</t>
  </si>
  <si>
    <t>PLANILHA DE CUSTO E FORMAÇÃO DE PREÇOS</t>
  </si>
  <si>
    <t xml:space="preserve">MÓDULO 01 – Composição da Remuneração </t>
  </si>
  <si>
    <t>A</t>
  </si>
  <si>
    <t>Salário Base [Cláusula 2ª]</t>
  </si>
  <si>
    <t>B</t>
  </si>
  <si>
    <t>Adicional de Periculosidade</t>
  </si>
  <si>
    <t>CLT art.s 193 e segs ;CF art. 7º XXIII / Lei 12.740/2012</t>
  </si>
  <si>
    <t>%</t>
  </si>
  <si>
    <t>C</t>
  </si>
  <si>
    <t>Gratificação função líder</t>
  </si>
  <si>
    <t>D</t>
  </si>
  <si>
    <t xml:space="preserve">Gratificação </t>
  </si>
  <si>
    <t>E</t>
  </si>
  <si>
    <t>G</t>
  </si>
  <si>
    <t>H</t>
  </si>
  <si>
    <t>INSS</t>
  </si>
  <si>
    <t>SESI ou SESC</t>
  </si>
  <si>
    <t>SENAI ou SENAC</t>
  </si>
  <si>
    <t>INCRA</t>
  </si>
  <si>
    <t>Salário educação</t>
  </si>
  <si>
    <t>Seguro Acidente Trabalho (RAT x FAP):</t>
  </si>
  <si>
    <t>RAT=</t>
  </si>
  <si>
    <t>FAP=</t>
  </si>
  <si>
    <t>SEBRAE</t>
  </si>
  <si>
    <t>Aviso Prévio Indenizado (taxa de rotatividade)</t>
  </si>
  <si>
    <t>Incidência do FGTS sobre Aviso Prévio Indenizado</t>
  </si>
  <si>
    <t>% ocorrência</t>
  </si>
  <si>
    <t>Número de ausências por ano(dias)</t>
  </si>
  <si>
    <t>Licença paternidade (*)</t>
  </si>
  <si>
    <t>--</t>
  </si>
  <si>
    <t>Lucro</t>
  </si>
  <si>
    <t>Base de cálculo para os tributos</t>
  </si>
  <si>
    <t xml:space="preserve">Tributos </t>
  </si>
  <si>
    <t>Alíquota</t>
  </si>
  <si>
    <t xml:space="preserve">Tributos Federais </t>
  </si>
  <si>
    <t>PIS:</t>
  </si>
  <si>
    <t>COFINS:</t>
  </si>
  <si>
    <t>OUTROS:</t>
  </si>
  <si>
    <t xml:space="preserve">Tributos Municipais </t>
  </si>
  <si>
    <t>ISSQN:</t>
  </si>
  <si>
    <t>Outros tributos</t>
  </si>
  <si>
    <t>Total de Custos Indireto, Lucros e Tributos</t>
  </si>
  <si>
    <t>QUADRO RESUMO DO CUSTO POR EMPREGADO</t>
  </si>
  <si>
    <t>Mão-de-obra vinculada à execução contratual (valor por empregado)</t>
  </si>
  <si>
    <t>MÓDULO 05 – Custos Indireto, Tributos e Lucros</t>
  </si>
  <si>
    <t>Valor total proposto por empregado - mensal</t>
  </si>
  <si>
    <t>Cálculo do BDI</t>
  </si>
  <si>
    <t>ITENS</t>
  </si>
  <si>
    <t>Despesa Administrativa</t>
  </si>
  <si>
    <t>Aliquota total de tributos</t>
  </si>
  <si>
    <t>Fórmula</t>
  </si>
  <si>
    <t>SERVENTE</t>
  </si>
  <si>
    <t>Uniformes  (custo mensal por empregado)</t>
  </si>
  <si>
    <t>Percentual sobre o custo direto:</t>
  </si>
  <si>
    <t>São Paulo</t>
  </si>
  <si>
    <t>ANATEL SP</t>
  </si>
  <si>
    <t>Municípios</t>
  </si>
  <si>
    <t>Aparecida</t>
  </si>
  <si>
    <t>Araçatuba</t>
  </si>
  <si>
    <t>Arujá</t>
  </si>
  <si>
    <t>Atibaia</t>
  </si>
  <si>
    <t>Barra do Turvo</t>
  </si>
  <si>
    <t>Bauru</t>
  </si>
  <si>
    <t>Caçapava</t>
  </si>
  <si>
    <t>Cachoeira Paulista</t>
  </si>
  <si>
    <t>Cajati</t>
  </si>
  <si>
    <t>Campinas</t>
  </si>
  <si>
    <t>Guaiçara</t>
  </si>
  <si>
    <t>Guarulhos</t>
  </si>
  <si>
    <t>Itapecerica da Serra</t>
  </si>
  <si>
    <t>Lavrinhas</t>
  </si>
  <si>
    <t>Marília</t>
  </si>
  <si>
    <t>Miracatu</t>
  </si>
  <si>
    <t>Osasco</t>
  </si>
  <si>
    <t>Ourinhos</t>
  </si>
  <si>
    <t>Piquete</t>
  </si>
  <si>
    <t>Piracicaba</t>
  </si>
  <si>
    <t>Presidente Prudente</t>
  </si>
  <si>
    <t>Registro</t>
  </si>
  <si>
    <t>Ribeirão Preto</t>
  </si>
  <si>
    <t>Roseira</t>
  </si>
  <si>
    <t>Santos</t>
  </si>
  <si>
    <t>São José do Rio Preto</t>
  </si>
  <si>
    <t>São José dos Campos</t>
  </si>
  <si>
    <t>Sorocaba</t>
  </si>
  <si>
    <t>Taubaté</t>
  </si>
  <si>
    <t>Ubatuba</t>
  </si>
  <si>
    <t>Vargem</t>
  </si>
  <si>
    <t>Del 08 Posto Aparecida</t>
  </si>
  <si>
    <t>PSF Araçatuba</t>
  </si>
  <si>
    <t>Del 03 Atibaia</t>
  </si>
  <si>
    <t>Del 03 Posto Atibaia</t>
  </si>
  <si>
    <t>Del 05 Posto Barra do Turvo</t>
  </si>
  <si>
    <t>PSU Bauru</t>
  </si>
  <si>
    <t>Del 06 Posto Caçapava</t>
  </si>
  <si>
    <t>Del 01 Posto Arujá</t>
  </si>
  <si>
    <t>CT Cachoeira Paulista</t>
  </si>
  <si>
    <t>Del 08 Cachoeira Paulista</t>
  </si>
  <si>
    <t>Del 05 Posto Cajatí</t>
  </si>
  <si>
    <t>PSF Campinas</t>
  </si>
  <si>
    <t>PSU Campinas</t>
  </si>
  <si>
    <t>Del 10 Posto Guaiçara</t>
  </si>
  <si>
    <t>Del 01 Guarulhos</t>
  </si>
  <si>
    <t>Del 01 Posto Guarulhos</t>
  </si>
  <si>
    <t>JARI Guarulhos</t>
  </si>
  <si>
    <t>PSF Guarulhos</t>
  </si>
  <si>
    <t>Del 04 Itapecerica</t>
  </si>
  <si>
    <t>Del 04 Posto Itapecerica</t>
  </si>
  <si>
    <t>Del 08 Posto Lavrinhas</t>
  </si>
  <si>
    <t>Del 10 Marília</t>
  </si>
  <si>
    <t>PSU Marília</t>
  </si>
  <si>
    <t>Del 04 Posto Miracatú I (antigo Juquitiba)</t>
  </si>
  <si>
    <t>Del 04 Posto Miracatú II</t>
  </si>
  <si>
    <t>PSF Osasco</t>
  </si>
  <si>
    <t>Del 10 Posto Ourinhos</t>
  </si>
  <si>
    <t>Del 08 Posto Piquete</t>
  </si>
  <si>
    <t>AGU Piraricaba</t>
  </si>
  <si>
    <t>PSF Presidente Prudente</t>
  </si>
  <si>
    <t>PSU Presidente Prudente</t>
  </si>
  <si>
    <t>Del 05 Posto Registro</t>
  </si>
  <si>
    <t>Del 05 Registro</t>
  </si>
  <si>
    <t>PSF Ribeirão Preto</t>
  </si>
  <si>
    <t>PSU Ribeirão Preto</t>
  </si>
  <si>
    <t>Del 06 Posto Roseira</t>
  </si>
  <si>
    <t>PSF Santos</t>
  </si>
  <si>
    <t>PSU Santos</t>
  </si>
  <si>
    <t>Del 09 Posto São J. do Rio Pret</t>
  </si>
  <si>
    <t>Del 09 São J. do Rio Preto</t>
  </si>
  <si>
    <t>AGU São José do Rio Preto</t>
  </si>
  <si>
    <t>Del 02 São J. dos Campos</t>
  </si>
  <si>
    <t>AGU São José dos Campos</t>
  </si>
  <si>
    <t>SEDE São Paulo</t>
  </si>
  <si>
    <t>Arquivo 9 de julho</t>
  </si>
  <si>
    <t>Arquivo Baceunas</t>
  </si>
  <si>
    <t>AGU Sorocaba</t>
  </si>
  <si>
    <t>Del 06 Taubaté</t>
  </si>
  <si>
    <t>PSF Taubaté</t>
  </si>
  <si>
    <t>Del 07 Posto Ubatuba</t>
  </si>
  <si>
    <t>Del 07 Ubatuba Alojamento</t>
  </si>
  <si>
    <t>Del 07 Ubatuba I</t>
  </si>
  <si>
    <t>Del 07 Ubatuba II</t>
  </si>
  <si>
    <t>Del 03 Posto Vargem</t>
  </si>
  <si>
    <t>Barra_do_Turvo</t>
  </si>
  <si>
    <t>Cachoeira_Paulista</t>
  </si>
  <si>
    <t>Itapecerica_da_Serra</t>
  </si>
  <si>
    <t>Presidente_Prudente</t>
  </si>
  <si>
    <t>Ribeirão_Preto</t>
  </si>
  <si>
    <t>São_José_do_Rio_Preto</t>
  </si>
  <si>
    <t>São_José_dos_Campos</t>
  </si>
  <si>
    <t>São_Paulo</t>
  </si>
  <si>
    <t>*Base de Cálculo:  Salário Base + 1/3 de Férias + 13º</t>
  </si>
  <si>
    <t>FGTS*  *Caderno Técnico SLTI/MPOG</t>
  </si>
  <si>
    <t>A'</t>
  </si>
  <si>
    <t>Salário utilidade – alimentação – Preencher somente se a empresa não for filiada ao PAT</t>
  </si>
  <si>
    <t>I</t>
  </si>
  <si>
    <t>Adicional Noturno</t>
  </si>
  <si>
    <t>Adicional de Hota Noturna Reduzida</t>
  </si>
  <si>
    <t>Adicional de Hora Extra no Feriado Trabalhado</t>
  </si>
  <si>
    <t>Adicional de Insalubridade</t>
  </si>
  <si>
    <t>MÓDULO 2 – ENCARGOS E BENEFÍCIOS ANUAIS, MENSAIS E DIÁRIOS</t>
  </si>
  <si>
    <t>Submódulo 2.1 - 13º Salário, Férias e Adicional de Férias</t>
  </si>
  <si>
    <t>13º Salário</t>
  </si>
  <si>
    <t>Férias e Adicional de Férias</t>
  </si>
  <si>
    <t>Total Submódulo 2.1</t>
  </si>
  <si>
    <t>VALOR (R$)</t>
  </si>
  <si>
    <t>Submódulo 2.2 - GPS, FGTS e Outras Contribuições</t>
  </si>
  <si>
    <t>???</t>
  </si>
  <si>
    <t>Total Submódulo 2.2</t>
  </si>
  <si>
    <t>Submódulo 2.3 - Benefícios Mensais e Diários</t>
  </si>
  <si>
    <t>MÓDULO 3 – PROVISÃO PARA RESCISÃO</t>
  </si>
  <si>
    <t>Total Submódulo 2.3</t>
  </si>
  <si>
    <t>QUADRO-RESUMO DO MÓDULO 2 - ENCARGOS, BENEFÍCIOS ANUAIS, MENSAIS E DIÁRIOS</t>
  </si>
  <si>
    <t>2.1</t>
  </si>
  <si>
    <t>2.2</t>
  </si>
  <si>
    <t>2.3</t>
  </si>
  <si>
    <t>13º Salário, Férias e Adicional de Férias</t>
  </si>
  <si>
    <t>GPS, FGTS e Outras Contribuições</t>
  </si>
  <si>
    <t>TOTAL DO MÓDULO 2</t>
  </si>
  <si>
    <t>Benefícios Mensais e Diários</t>
  </si>
  <si>
    <t>TOTAL DO MÓDULO 3</t>
  </si>
  <si>
    <t>Multa do FGTS e Contribuição Social sobre o Aviso Prévio Indenizado</t>
  </si>
  <si>
    <t>Incidência dos encargos do submódulo 2.2 sobre Aviso Prévio Trabalhado</t>
  </si>
  <si>
    <t xml:space="preserve">Aviso Prévio Trabalhado </t>
  </si>
  <si>
    <t xml:space="preserve">Multa do FGTS e Contribuição Social sobre o Aviso Prévio Trabalhado. </t>
  </si>
  <si>
    <t>MÓDULO 4 – CUSTO DE REPOSIÇÃO DO PROFISSIONAL AUSENTE</t>
  </si>
  <si>
    <t>Férias</t>
  </si>
  <si>
    <t>Ausências Legais</t>
  </si>
  <si>
    <t>Ausência por Acidente de Trabalho</t>
  </si>
  <si>
    <t>Afastamento Maternidade</t>
  </si>
  <si>
    <t>Submódulo 4.1 - Ausências Legais</t>
  </si>
  <si>
    <t>Total Submódulo 4.1</t>
  </si>
  <si>
    <t>Submódulo 4.2 - Intrajornada</t>
  </si>
  <si>
    <t>Intervalo para Repouso ou Alimentação</t>
  </si>
  <si>
    <t>Total Submódulo 4.2</t>
  </si>
  <si>
    <t>QUADRO-RESUMO DO MÓDULO 4 - CUSTO DE REPOSIÇÃO DO PROFISSIONAL AUSENTE</t>
  </si>
  <si>
    <t>4.1</t>
  </si>
  <si>
    <t>4.2</t>
  </si>
  <si>
    <t>Intrajornada</t>
  </si>
  <si>
    <t>TOTAL DO MÓDULO 4</t>
  </si>
  <si>
    <t>MÓDULO 5 – INSUMOS DIVERSOS</t>
  </si>
  <si>
    <t>Equipamentos</t>
  </si>
  <si>
    <t>Meteriais</t>
  </si>
  <si>
    <t>d</t>
  </si>
  <si>
    <t>MÓDULO 06 – Custos Indiretos, Tributos e Lucro</t>
  </si>
  <si>
    <t>Custos Indiretos</t>
  </si>
  <si>
    <t>TOTAL DO MÓDULO 5</t>
  </si>
  <si>
    <t>TOTAL DO MÓDULO 1</t>
  </si>
  <si>
    <t>Subtotal (A+B+C+D+E)</t>
  </si>
  <si>
    <t>B1</t>
  </si>
  <si>
    <t>(-) Desc. PIS/COFINS</t>
  </si>
  <si>
    <t>Materiais</t>
  </si>
  <si>
    <t xml:space="preserve">SUBTOTAL </t>
  </si>
  <si>
    <t>Quantidade de postos -valor mensal de R$</t>
  </si>
  <si>
    <t>Incidencia do submodulo 2.2 no submodulo 4.1</t>
  </si>
  <si>
    <t>SUB.Total Submódulo 4.1</t>
  </si>
  <si>
    <t xml:space="preserve">Valor Anual </t>
  </si>
  <si>
    <t>Vale Transporte</t>
  </si>
  <si>
    <t>Desconto do VT</t>
  </si>
  <si>
    <t>SUB TOTAL</t>
  </si>
  <si>
    <t>10 - COEFICIENTES DE PRODUTIVIDADE E PREÇO DO M²</t>
  </si>
  <si>
    <t xml:space="preserve">Pisos Acarpetados e Frios (8 Horas) - XXX m² - Diária </t>
  </si>
  <si>
    <t>PRODUTIVIDADE  (1/M2)</t>
  </si>
  <si>
    <t>COEFICIENTE 8 HS DIÁRIAS</t>
  </si>
  <si>
    <t>PREÇO HOMEM  MÊS</t>
  </si>
  <si>
    <t xml:space="preserve">VALOR DA HORA </t>
  </si>
  <si>
    <t>FREQUÊNCIA (DIÁRIA) - HS</t>
  </si>
  <si>
    <t>PREÇO M²</t>
  </si>
  <si>
    <t>1/750</t>
  </si>
  <si>
    <t>ENCARREGADO</t>
  </si>
  <si>
    <t>1/(20*750)</t>
  </si>
  <si>
    <t>TOTAL M2........................................................................................................................................................................................................</t>
  </si>
  <si>
    <t xml:space="preserve"> </t>
  </si>
  <si>
    <t>Pisos Acarpetados e Frios (8 Horas) - XXX m² - Diária - Repasse e Refazimento</t>
  </si>
  <si>
    <t xml:space="preserve">Pisos Acarpetados e Frios (12 Horas) - XXXX m² - Diária </t>
  </si>
  <si>
    <t>COEFICIENTE 12 HS DIÁRIAS</t>
  </si>
  <si>
    <t>1/1125</t>
  </si>
  <si>
    <t>1/(20*1125)</t>
  </si>
  <si>
    <t>....................................</t>
  </si>
  <si>
    <t xml:space="preserve">Pisos Acarpetados e Frios (12 Horas) - XXXX m² - Diária - Repasse e Refazimento </t>
  </si>
  <si>
    <t xml:space="preserve">Banheiros (8 Horas) - XXX m² - Diária </t>
  </si>
  <si>
    <t xml:space="preserve">Banheiros (8 Horas) - XXX m² - Diária - Repasse e Refazimento </t>
  </si>
  <si>
    <t>...........................</t>
  </si>
  <si>
    <t xml:space="preserve">Banheiros (12 Horas) - XXXX m² - Diária </t>
  </si>
  <si>
    <t xml:space="preserve">Banheiros (12 Horas) - XXXX m² - Diária - Repasse e Refazimento  </t>
  </si>
  <si>
    <t>FREQUÊNCIA (QUINZENAL) - HS</t>
  </si>
  <si>
    <t>1/1688</t>
  </si>
  <si>
    <t>1/(20*1688)</t>
  </si>
  <si>
    <t xml:space="preserve">Almoxarifados/Galpões (12 Horas) - XXXX m² - Quinzenal </t>
  </si>
  <si>
    <t>VALOR DA HORA</t>
  </si>
  <si>
    <t>001/2532</t>
  </si>
  <si>
    <t>1/(20*22532)</t>
  </si>
  <si>
    <t>Oficinas (8 Horas) - XXXX m² - Quinzenal</t>
  </si>
  <si>
    <t>1/1500</t>
  </si>
  <si>
    <t>1/(20*1500)</t>
  </si>
  <si>
    <t>Espaços Livres - Saguão, Hall e Salão (12 Horas) - XXXX m² - Diária</t>
  </si>
  <si>
    <t>Pisos Pavimentados Adjacentes/Contíguos as Edificações (8 Horas) - XXXX m² - SEMANAL</t>
  </si>
  <si>
    <t>FREQUÊNCIA (SEMANAL) - HS</t>
  </si>
  <si>
    <t>Pisos Pavimentados Adjacentes/Contíguos as Edificações (12 Horas) - XXXX m² - Diária</t>
  </si>
  <si>
    <t>01/2.250</t>
  </si>
  <si>
    <t>1/(20*2250)</t>
  </si>
  <si>
    <t>Pisos Pavimentados Adjacentes/Contíguos as Edificações (12 Horas) - XXXX m² - Anual - Lavagem</t>
  </si>
  <si>
    <t>FREQUÊNCIA (ANUAL) - HS</t>
  </si>
  <si>
    <t>Pátios e Áreas Verdes - Alta Frequência (12 Horas) - XXXX m² - Diária</t>
  </si>
  <si>
    <t>1/(20*2.250)</t>
  </si>
  <si>
    <t>Coleta de Detritos em Pátios e Áreas Verdes (8 Horas) - XXXXXX m² - Diária</t>
  </si>
  <si>
    <t>1/125000</t>
  </si>
  <si>
    <t>1/(20*125000</t>
  </si>
  <si>
    <t>Coleta de Detritos em Pátios e Áreas Verdes (12 Horas) - XXXXXX m² - Diária</t>
  </si>
  <si>
    <t>1/187500</t>
  </si>
  <si>
    <t>1/(20*187500)</t>
  </si>
  <si>
    <t>Vidros Externos Sem Exposição à Situação de Risco (8 Horas) - XXX m² - Trimestral</t>
  </si>
  <si>
    <t>FREQUÊNCIA (TRIMESTRAL) - HS</t>
  </si>
  <si>
    <t>1/275</t>
  </si>
  <si>
    <t>1/(4*275)</t>
  </si>
  <si>
    <t>Vidros Externos Sem Exposição à Situação de Risco (12 Horas) - XXX m² - Trimestral</t>
  </si>
  <si>
    <t>1/412,50</t>
  </si>
  <si>
    <t>1/(4*412,50)</t>
  </si>
  <si>
    <t>Vidros Externos Com Exposição à Situação de Risco (8 Horas) - XXX m² - Trimestral</t>
  </si>
  <si>
    <t>1/138</t>
  </si>
  <si>
    <t>1/(4*138)</t>
  </si>
  <si>
    <t>Vidros Externos Com Exposição à Situação de Risco (12 Horas) - XXX m² - Trimestral</t>
  </si>
  <si>
    <t>1/207</t>
  </si>
  <si>
    <t>1/(4*207)</t>
  </si>
  <si>
    <t>INFORMAÇÕES COMPLEMENTARES (Observar que este cálculo é para a produtividade - Horas Trabalhadas):</t>
  </si>
  <si>
    <t>SEMANAS TOTAIS NO ANO</t>
  </si>
  <si>
    <t>SEMANAS NO MÊS</t>
  </si>
  <si>
    <t>40 HORAS SEMANAIS - HORAS DE TRABALHO NO MÊS POR FUNCIONÁRIO</t>
  </si>
  <si>
    <t>44 HORAS SEMANAIS - HORAS DE TRABALHO NO MÊS POR FUNCIONÁRIO</t>
  </si>
  <si>
    <t>12X36 HORAS - HORAS DE TRABALHO NO MÊS POR FUNCIONÁRIO</t>
  </si>
  <si>
    <r>
      <t xml:space="preserve">Almoxarifados/Galpões (8 Horas) - XXXX m² - </t>
    </r>
    <r>
      <rPr>
        <b/>
        <i/>
        <sz val="10"/>
        <color rgb="FFFF0000"/>
        <rFont val="Calibri"/>
        <family val="2"/>
        <scheme val="minor"/>
      </rPr>
      <t xml:space="preserve">Quinzenal </t>
    </r>
  </si>
  <si>
    <t>Folha 1</t>
  </si>
  <si>
    <t>ANEXO V-E</t>
  </si>
  <si>
    <t>COMPLEMENTO DOS SERVIÇOS DE LIMPEZA E CONSERVAÇÃO</t>
  </si>
  <si>
    <t>I - PREÇO MENSAL UNITÁRIO POR M²</t>
  </si>
  <si>
    <t>AREA INTERNA</t>
  </si>
  <si>
    <t>MÃO-DE-OBRA</t>
  </si>
  <si>
    <t>(1)</t>
  </si>
  <si>
    <t>(2)</t>
  </si>
  <si>
    <t>( 1 X 2 )</t>
  </si>
  <si>
    <t>PRODUTIVIDADE</t>
  </si>
  <si>
    <t>PREÇO HOMEM/MÊS</t>
  </si>
  <si>
    <t>SUBTOTAL</t>
  </si>
  <si>
    <t>(1/M²)</t>
  </si>
  <si>
    <t>(R$)</t>
  </si>
  <si>
    <t>(R$/M²)</t>
  </si>
  <si>
    <t>Pisos Acarpetados</t>
  </si>
  <si>
    <t>Encarregado</t>
  </si>
  <si>
    <t>Servente</t>
  </si>
  <si>
    <t>TOTAL</t>
  </si>
  <si>
    <t>Pisos Frios</t>
  </si>
  <si>
    <t>Laboratórios</t>
  </si>
  <si>
    <t>Almoxarifados e Galpões</t>
  </si>
  <si>
    <t>Oficinas</t>
  </si>
  <si>
    <t>Areas com Espaços Livres (Saguão, Hall e Salão)</t>
  </si>
  <si>
    <t>AREA EXTERNA</t>
  </si>
  <si>
    <t xml:space="preserve">Pisos Pavimentados Adjacentes Contíguos as Edificações </t>
  </si>
  <si>
    <t>Varrição de Passeios e Arruamentos</t>
  </si>
  <si>
    <t>Pátios e Áreas Verdes com Alta Frequência</t>
  </si>
  <si>
    <t>Pátios e Áreas Verdes com Média Frequência</t>
  </si>
  <si>
    <t>Pátios e Áreas Verdes com Baixa Frequência</t>
  </si>
  <si>
    <t>Coleta de Detritos em Pátios e Áreas Verdes com Frequência Diária</t>
  </si>
  <si>
    <t>Folha 2</t>
  </si>
  <si>
    <t>ESQUADRIA EXTERNA - FACE INTERNA/EXTERNA</t>
  </si>
  <si>
    <t xml:space="preserve"> (3)</t>
  </si>
  <si>
    <t xml:space="preserve"> (4)</t>
  </si>
  <si>
    <t>(5)</t>
  </si>
  <si>
    <t>( 4 X 5 )</t>
  </si>
  <si>
    <t>FREQUÊNCIA NO MÊS</t>
  </si>
  <si>
    <t>JORNADA DE TRABALHO NO MÊS</t>
  </si>
  <si>
    <t>( 1 X 2 X 3 )</t>
  </si>
  <si>
    <t>(HORAS)</t>
  </si>
  <si>
    <t>Ki</t>
  </si>
  <si>
    <t>Face Externa com exposição a situação de risco</t>
  </si>
  <si>
    <t>1/191,40</t>
  </si>
  <si>
    <t>Face Externa sem exposição a situação de risco</t>
  </si>
  <si>
    <t>Face Interna</t>
  </si>
  <si>
    <t>FACHADA ENVIDRAÇADA - FACE EXTERNA</t>
  </si>
  <si>
    <t>FREQUÊNCIA NO SEMESTRE</t>
  </si>
  <si>
    <t>JORNADA DE TRABALHO NO SEMESTRE</t>
  </si>
  <si>
    <t>Ke</t>
  </si>
  <si>
    <t>1/1148,40</t>
  </si>
  <si>
    <t>ÁREAS HOSPITALARES E ASSEMELHADOS</t>
  </si>
  <si>
    <t>Folha 3</t>
  </si>
  <si>
    <t>II - VALOR MENSAL DOS SERVIÇOS</t>
  </si>
  <si>
    <t>TIPO DE ÁREA</t>
  </si>
  <si>
    <t>PREÇO MENSAL UNITÁRIO</t>
  </si>
  <si>
    <t>ÁREA</t>
  </si>
  <si>
    <t>(M²)</t>
  </si>
  <si>
    <t>ÁREAS INTERNAS</t>
  </si>
  <si>
    <t>Pisos acarpetados</t>
  </si>
  <si>
    <t>Pisos frios</t>
  </si>
  <si>
    <t>Almoxarifado/Galpões</t>
  </si>
  <si>
    <t>Áreas com espaços livres           (saguão, hall e salão)</t>
  </si>
  <si>
    <t>TOTAL DA ÁREA INTERNA</t>
  </si>
  <si>
    <t>ÁREAS EXTERNAS</t>
  </si>
  <si>
    <t>Pisos pavimentados adjacentes/contíguos às edificações</t>
  </si>
  <si>
    <t>Varrição de passeios e arruamentos</t>
  </si>
  <si>
    <t>Pátios e áreas verdes com alta frequência</t>
  </si>
  <si>
    <t>Pátios e áreas verdes com média frequência</t>
  </si>
  <si>
    <t>Pátios e áreas verdes com baixa frequência</t>
  </si>
  <si>
    <t>Coleta de detritos em pátio e áreas verdes com frequência diária</t>
  </si>
  <si>
    <t>TOTAL DA ÁREA EXTERNA</t>
  </si>
  <si>
    <t>ESQUADRIAS EXTERNAS</t>
  </si>
  <si>
    <t>Face externa com exposição a situação de risco</t>
  </si>
  <si>
    <t>Face externa sem exposição a situação de risco</t>
  </si>
  <si>
    <t>Face interna</t>
  </si>
  <si>
    <t>TOTAL DA ESQUADRIA EXTERNA</t>
  </si>
  <si>
    <t>FACHADA ENVIDRAÇADA</t>
  </si>
  <si>
    <t>TOTAL DA FACHADA ENVIDRAÇADA</t>
  </si>
  <si>
    <t>TOTAL DAS ÁREAS HOSPITALARES E ASSMELHADAS</t>
  </si>
  <si>
    <t>Total do Valor Mensal do Serviço</t>
  </si>
  <si>
    <t>VALOR GLOBAL DA PROPOSTA                                                                            (Valor Mensal do Serviço x n° de meses do contrato</t>
  </si>
  <si>
    <t>N° de meses do contrato</t>
  </si>
  <si>
    <t>III - QUANTIDADE DE PESSOAL ALOCADO NA EXECUÇÃO CONTRATUAL</t>
  </si>
  <si>
    <t>TIPO DE MÃO DE OBRA</t>
  </si>
  <si>
    <t>QUANTIDADE DE PESSOAL</t>
  </si>
  <si>
    <t>ITEM</t>
  </si>
  <si>
    <t>SERVIÇOS</t>
  </si>
  <si>
    <t>QTDD POSTOS</t>
  </si>
  <si>
    <t>VALOR MENSAL</t>
  </si>
  <si>
    <t>Lucro Presumido</t>
  </si>
  <si>
    <t>Localidade</t>
  </si>
  <si>
    <t>CNPJ nº 05.443.410/0001-20</t>
  </si>
  <si>
    <t>MATERIAL</t>
  </si>
  <si>
    <t xml:space="preserve">EQUIPAMENTO </t>
  </si>
  <si>
    <t>EPIS</t>
  </si>
  <si>
    <t>MEDIA POR FUNCIONARIO</t>
  </si>
  <si>
    <t>EMPRESA: PH RECURSOS HUMANO EIRELI</t>
  </si>
  <si>
    <r>
      <t xml:space="preserve">DIA /HORA: </t>
    </r>
    <r>
      <rPr>
        <b/>
        <i/>
        <sz val="9"/>
        <color rgb="FFFF0000"/>
        <rFont val="Calibri"/>
        <family val="2"/>
        <scheme val="minor"/>
      </rPr>
      <t>19/03/2019 AS 14:00 HRS</t>
    </r>
  </si>
  <si>
    <t>LICITAÇÃO Nº  GGCS-7/2019 - PREGAO ELETRONICO 756250</t>
  </si>
  <si>
    <t>LIQUIGÁS - ARAUCÁRIA</t>
  </si>
  <si>
    <t>LOCALIDADE</t>
  </si>
  <si>
    <t>VALOR UNIT.</t>
  </si>
  <si>
    <t>Salário Mínimo Federal - 01/01/2019</t>
  </si>
  <si>
    <t xml:space="preserve">Equipamentos </t>
  </si>
  <si>
    <t>VT</t>
  </si>
  <si>
    <t xml:space="preserve">ISS </t>
  </si>
  <si>
    <t>EQUIPAMENTOS</t>
  </si>
  <si>
    <t>VALOR  12 MESES</t>
  </si>
  <si>
    <t>Salário Base</t>
  </si>
  <si>
    <t xml:space="preserve">Incidência do submodulo 2.2 no submodulo 2.1 </t>
  </si>
  <si>
    <t>Multa do FGTS e contribuição social sobre o aviso prévio indenizado e trabalhado</t>
  </si>
  <si>
    <t>Unidade</t>
  </si>
  <si>
    <t>Quantidade a disponibilizar</t>
  </si>
  <si>
    <t>Depreciação (em meses)</t>
  </si>
  <si>
    <t>Quantidade Anual</t>
  </si>
  <si>
    <t>Valor Unitário</t>
  </si>
  <si>
    <t>Custo Anual</t>
  </si>
  <si>
    <t>Ponto biométrico</t>
  </si>
  <si>
    <t>pç</t>
  </si>
  <si>
    <t xml:space="preserve">CUSTO ANUAL DOS EQUIPAMENTOS </t>
  </si>
  <si>
    <t xml:space="preserve">CUSTO MENSAL DOS EQUIPAMENTOS </t>
  </si>
  <si>
    <t>CUSTO ANUAL DOS UNIFORMES PARA POSTO</t>
  </si>
  <si>
    <t>CUSTO MENSAL DOS UNIFORMES PARA POSTO</t>
  </si>
  <si>
    <t>QUADRO RESUMO</t>
  </si>
  <si>
    <t>CUSTO ANUAL</t>
  </si>
  <si>
    <t>CUSTO MENSAL</t>
  </si>
  <si>
    <t>Custo Mensal por Funcionário</t>
  </si>
  <si>
    <t>Quantidade da mão de obra alocada na prestação dos serviços</t>
  </si>
  <si>
    <t>Crachá</t>
  </si>
  <si>
    <t>par</t>
  </si>
  <si>
    <t>Benefício Social Familiar - CCT Cláusula 16ª</t>
  </si>
  <si>
    <t>unid</t>
  </si>
  <si>
    <t>Servente - 40h (2ª a 6ª)</t>
  </si>
  <si>
    <t>Jardineiro - 40h (2ª a 6ª)</t>
  </si>
  <si>
    <t>Líder de Grupo - 40h (2ª a 6ª)</t>
  </si>
  <si>
    <t>Canoinhas / SC</t>
  </si>
  <si>
    <t xml:space="preserve">Uniformes (custo mensal por empregado) </t>
  </si>
  <si>
    <t xml:space="preserve">UNIFORMES </t>
  </si>
  <si>
    <t>Calça</t>
  </si>
  <si>
    <t>Camisa manga longa</t>
  </si>
  <si>
    <t>Camisa manga curta</t>
  </si>
  <si>
    <t>Par de sapatos</t>
  </si>
  <si>
    <t>Pulôver de lã</t>
  </si>
  <si>
    <t>Adicional de Risco</t>
  </si>
  <si>
    <t>A-1</t>
  </si>
  <si>
    <t>Auxilio Alimentação - CCT Cláusula 13ª § 8º</t>
  </si>
  <si>
    <t>Auxilio Alimentação - CCT Cláusula 13ª</t>
  </si>
  <si>
    <t>Assistência Médica - CCT Cláusula 15ª</t>
  </si>
  <si>
    <t>Fundo de Formação Profissional - CCT Cláusula 22ª</t>
  </si>
  <si>
    <t>https://leismunicipais.com.br/codigo-tributario-cascavel-pr</t>
  </si>
  <si>
    <t>https://g1.globo.com/pr/oeste-sudoeste/noticia/2019/04/03/passagem-de-onibus-aumenta-para-r-390-em-cascavel-a-partir-desta-quinta-feira-4.ghtml</t>
  </si>
  <si>
    <t>https://diariodotransporte.com.br/2019/03/30/cascavel-reajusta-tarifa-do-transporte-publico-para-r-390/</t>
  </si>
  <si>
    <t>CRM / PR</t>
  </si>
  <si>
    <t>Servente 24h/semana</t>
  </si>
  <si>
    <t>Londrina / PR</t>
  </si>
  <si>
    <t>Jardineiro 8H/dia - 01x/mês</t>
  </si>
  <si>
    <t>SERVENTE 24H 
PARANÁ</t>
  </si>
  <si>
    <t>Gratificação</t>
  </si>
  <si>
    <t>JARDINEIRO 8H / 01X NO MÊS 
PARANÁ</t>
  </si>
  <si>
    <t>CCT - SIEMACO/PR - PR000154/2019 - DATA BASE 01/02/2019</t>
  </si>
  <si>
    <t>PLANILHA DE CUSTOS E FORMAÇÃO DE PREÇOS</t>
  </si>
  <si>
    <t>Tipo de Serviço</t>
  </si>
  <si>
    <t>Limpeza</t>
  </si>
  <si>
    <t>Classificação Brasileira de Ocupações (CBO)</t>
  </si>
  <si>
    <t>5143-20</t>
  </si>
  <si>
    <t>6220-10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</si>
</sst>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#,##0.0\ ;\-#,##0.0\ ;&quot; -&quot;#\ ;@\ "/>
    <numFmt numFmtId="166" formatCode="0.000%"/>
    <numFmt numFmtId="167" formatCode="0.00000%"/>
    <numFmt numFmtId="168" formatCode="#,##0.00\ ;\-#,##0.00\ ;&quot; -&quot;#.0\ ;@\ "/>
    <numFmt numFmtId="169" formatCode="&quot;R$ &quot;#,##0.00_);&quot;(R$ &quot;#,##0.00\)"/>
    <numFmt numFmtId="170" formatCode="0.0000000"/>
    <numFmt numFmtId="171" formatCode="_(* #,##0.00_);_(* \(#,##0.00\);_(* &quot;-&quot;??_);_(@_)"/>
    <numFmt numFmtId="172" formatCode="0.0000"/>
    <numFmt numFmtId="173" formatCode="_(* #,##0.00000000_);_(* \(#,##0.00000000\);_(* &quot;-&quot;??_);_(@_)"/>
    <numFmt numFmtId="174" formatCode="_(&quot;R$ &quot;* #,##0.00_);_(&quot;R$ &quot;* \(#,##0.00\);_(&quot;R$ &quot;* &quot;-&quot;??_);_(@_)"/>
    <numFmt numFmtId="175" formatCode="0.00000000"/>
    <numFmt numFmtId="176" formatCode="_(* #,##0.000_);_(* \(#,##0.000\);_(* &quot;-&quot;??_);_(@_)"/>
    <numFmt numFmtId="177" formatCode="_-* #,##0.000_-;\-* #,##0.000_-;_-* &quot;-&quot;??_-;_-@_-"/>
    <numFmt numFmtId="178" formatCode="&quot;R$ &quot;#,##0.00"/>
    <numFmt numFmtId="179" formatCode="_(* #,##0.00000000000_);_(* \(#,##0.00000000000\);_(* &quot;-&quot;??_);_(@_)"/>
    <numFmt numFmtId="180" formatCode="_(* #,##0_);_(* \(#,##0\);_(* &quot;-&quot;??_);_(@_)"/>
    <numFmt numFmtId="181" formatCode="&quot;R$&quot;\ #,##0.00"/>
    <numFmt numFmtId="182" formatCode="0.0%"/>
    <numFmt numFmtId="183" formatCode="_(* #,##0.00_);_(* \(#,##0.00\);_(* \-??_);_(@_)"/>
    <numFmt numFmtId="184" formatCode="0.0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indexed="8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u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color indexed="12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b/>
      <sz val="16"/>
      <color indexed="8"/>
      <name val="Calibri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i/>
      <sz val="9"/>
      <color rgb="FFFF000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Calibri"/>
      <family val="2"/>
      <scheme val="minor"/>
    </font>
    <font>
      <sz val="10"/>
      <name val="Arial"/>
      <family val="2"/>
      <charset val="1"/>
    </font>
    <font>
      <i/>
      <sz val="9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A0A0A"/>
      <name val="Roboto"/>
    </font>
    <font>
      <b/>
      <sz val="18"/>
      <color indexed="56"/>
      <name val="Cambria"/>
      <family val="2"/>
    </font>
    <font>
      <b/>
      <i/>
      <sz val="10"/>
      <color indexed="18"/>
      <name val="Calibri"/>
      <family val="2"/>
      <scheme val="minor"/>
    </font>
    <font>
      <b/>
      <i/>
      <sz val="10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theme="1"/>
        <bgColor indexed="2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6"/>
      </patternFill>
    </fill>
    <fill>
      <patternFill patternType="solid">
        <fgColor theme="0" tint="-0.14999847407452621"/>
        <bgColor indexed="21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indexed="26"/>
      </patternFill>
    </fill>
    <fill>
      <patternFill patternType="solid">
        <fgColor indexed="24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8" fillId="0" borderId="0"/>
    <xf numFmtId="0" fontId="48" fillId="0" borderId="0" applyFill="0" applyProtection="0"/>
    <xf numFmtId="0" fontId="50" fillId="0" borderId="0"/>
    <xf numFmtId="0" fontId="53" fillId="0" borderId="0" applyNumberFormat="0" applyFill="0" applyBorder="0" applyAlignment="0" applyProtection="0"/>
    <xf numFmtId="0" fontId="4" fillId="0" borderId="0"/>
    <xf numFmtId="183" fontId="4" fillId="0" borderId="0" applyFill="0" applyBorder="0" applyAlignment="0" applyProtection="0"/>
    <xf numFmtId="0" fontId="55" fillId="0" borderId="0" applyNumberFormat="0" applyFill="0" applyBorder="0" applyAlignment="0" applyProtection="0"/>
  </cellStyleXfs>
  <cellXfs count="719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44" fontId="5" fillId="12" borderId="10" xfId="2" applyFont="1" applyFill="1" applyBorder="1" applyAlignment="1">
      <alignment horizontal="center" vertical="center" wrapText="1"/>
    </xf>
    <xf numFmtId="0" fontId="5" fillId="12" borderId="10" xfId="0" applyFont="1" applyFill="1" applyBorder="1" applyAlignment="1" applyProtection="1">
      <alignment horizontal="center" vertical="center"/>
    </xf>
    <xf numFmtId="44" fontId="5" fillId="8" borderId="10" xfId="2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 applyProtection="1">
      <alignment horizontal="center" vertical="center"/>
      <protection locked="0"/>
    </xf>
    <xf numFmtId="10" fontId="5" fillId="2" borderId="10" xfId="3" applyNumberFormat="1" applyFont="1" applyFill="1" applyBorder="1" applyAlignment="1" applyProtection="1">
      <alignment horizontal="center" vertical="center"/>
    </xf>
    <xf numFmtId="44" fontId="5" fillId="0" borderId="10" xfId="2" applyFont="1" applyBorder="1" applyAlignment="1">
      <alignment horizontal="center" vertical="center" wrapText="1"/>
    </xf>
    <xf numFmtId="164" fontId="5" fillId="0" borderId="0" xfId="4" applyNumberFormat="1" applyFont="1" applyFill="1" applyBorder="1" applyAlignment="1">
      <alignment horizontal="center" vertical="center" wrapText="1"/>
    </xf>
    <xf numFmtId="10" fontId="3" fillId="2" borderId="10" xfId="3" applyNumberFormat="1" applyFont="1" applyFill="1" applyBorder="1" applyAlignment="1" applyProtection="1">
      <alignment horizontal="center" vertical="center"/>
    </xf>
    <xf numFmtId="44" fontId="9" fillId="0" borderId="0" xfId="2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horizontal="center" vertical="center"/>
    </xf>
    <xf numFmtId="44" fontId="5" fillId="0" borderId="0" xfId="2" applyFont="1"/>
    <xf numFmtId="44" fontId="5" fillId="2" borderId="10" xfId="2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Alignment="1" applyProtection="1">
      <alignment vertical="center"/>
    </xf>
    <xf numFmtId="0" fontId="5" fillId="7" borderId="0" xfId="0" applyFont="1" applyFill="1" applyAlignment="1" applyProtection="1">
      <alignment horizontal="center" vertical="center"/>
    </xf>
    <xf numFmtId="165" fontId="5" fillId="7" borderId="0" xfId="0" applyNumberFormat="1" applyFont="1" applyFill="1" applyAlignment="1" applyProtection="1">
      <alignment vertical="center"/>
    </xf>
    <xf numFmtId="0" fontId="3" fillId="0" borderId="0" xfId="0" applyFont="1"/>
    <xf numFmtId="0" fontId="5" fillId="0" borderId="0" xfId="0" applyFont="1" applyAlignment="1">
      <alignment wrapText="1"/>
    </xf>
    <xf numFmtId="0" fontId="5" fillId="9" borderId="0" xfId="0" applyFont="1" applyFill="1" applyBorder="1" applyAlignment="1" applyProtection="1">
      <alignment vertical="center"/>
    </xf>
    <xf numFmtId="0" fontId="5" fillId="9" borderId="0" xfId="0" applyFont="1" applyFill="1" applyBorder="1" applyAlignment="1" applyProtection="1">
      <alignment horizontal="center" vertical="center"/>
    </xf>
    <xf numFmtId="10" fontId="12" fillId="2" borderId="10" xfId="0" applyNumberFormat="1" applyFont="1" applyFill="1" applyBorder="1" applyAlignment="1" applyProtection="1">
      <alignment horizontal="center" vertical="center"/>
      <protection locked="0"/>
    </xf>
    <xf numFmtId="44" fontId="5" fillId="0" borderId="10" xfId="2" applyFont="1" applyBorder="1" applyAlignment="1">
      <alignment horizontal="center" vertical="center"/>
    </xf>
    <xf numFmtId="0" fontId="13" fillId="0" borderId="0" xfId="0" applyFont="1"/>
    <xf numFmtId="9" fontId="10" fillId="2" borderId="10" xfId="3" applyFont="1" applyFill="1" applyBorder="1" applyAlignment="1" applyProtection="1">
      <alignment horizontal="center" vertical="center"/>
      <protection locked="0"/>
    </xf>
    <xf numFmtId="10" fontId="12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165" fontId="5" fillId="0" borderId="0" xfId="0" applyNumberFormat="1" applyFont="1"/>
    <xf numFmtId="10" fontId="5" fillId="7" borderId="10" xfId="0" applyNumberFormat="1" applyFont="1" applyFill="1" applyBorder="1" applyAlignment="1" applyProtection="1">
      <alignment horizontal="center" vertical="center"/>
    </xf>
    <xf numFmtId="10" fontId="5" fillId="2" borderId="10" xfId="3" applyNumberFormat="1" applyFont="1" applyFill="1" applyBorder="1" applyAlignment="1" applyProtection="1">
      <alignment horizontal="center" vertical="center"/>
      <protection locked="0"/>
    </xf>
    <xf numFmtId="10" fontId="5" fillId="10" borderId="10" xfId="0" applyNumberFormat="1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10" fontId="14" fillId="2" borderId="10" xfId="3" applyNumberFormat="1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</xf>
    <xf numFmtId="10" fontId="5" fillId="0" borderId="10" xfId="0" applyNumberFormat="1" applyFont="1" applyFill="1" applyBorder="1" applyAlignment="1" applyProtection="1">
      <alignment horizontal="center" vertical="center"/>
      <protection locked="0"/>
    </xf>
    <xf numFmtId="168" fontId="5" fillId="2" borderId="10" xfId="0" applyNumberFormat="1" applyFont="1" applyFill="1" applyBorder="1" applyAlignment="1" applyProtection="1">
      <alignment horizontal="center" vertical="center"/>
    </xf>
    <xf numFmtId="168" fontId="5" fillId="2" borderId="10" xfId="3" applyNumberFormat="1" applyFont="1" applyFill="1" applyBorder="1" applyAlignment="1" applyProtection="1">
      <alignment horizontal="center" vertical="center"/>
    </xf>
    <xf numFmtId="165" fontId="5" fillId="2" borderId="10" xfId="0" applyNumberFormat="1" applyFont="1" applyFill="1" applyBorder="1" applyAlignment="1" applyProtection="1">
      <alignment horizontal="center" vertical="center"/>
    </xf>
    <xf numFmtId="10" fontId="5" fillId="2" borderId="10" xfId="0" applyNumberFormat="1" applyFont="1" applyFill="1" applyBorder="1" applyAlignment="1" applyProtection="1">
      <alignment horizontal="center" vertical="center"/>
      <protection locked="0"/>
    </xf>
    <xf numFmtId="10" fontId="5" fillId="0" borderId="10" xfId="0" applyNumberFormat="1" applyFont="1" applyFill="1" applyBorder="1" applyAlignment="1" applyProtection="1">
      <alignment horizontal="center" vertical="center"/>
    </xf>
    <xf numFmtId="44" fontId="5" fillId="0" borderId="10" xfId="2" applyFont="1" applyBorder="1"/>
    <xf numFmtId="0" fontId="5" fillId="0" borderId="0" xfId="4" applyFont="1" applyFill="1" applyBorder="1" applyAlignment="1">
      <alignment horizontal="center" vertical="center" wrapText="1"/>
    </xf>
    <xf numFmtId="44" fontId="5" fillId="0" borderId="0" xfId="2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5" fillId="7" borderId="0" xfId="0" applyFont="1" applyFill="1" applyProtection="1"/>
    <xf numFmtId="0" fontId="5" fillId="7" borderId="0" xfId="0" applyFont="1" applyFill="1" applyAlignment="1" applyProtection="1">
      <alignment horizontal="center"/>
    </xf>
    <xf numFmtId="165" fontId="5" fillId="7" borderId="0" xfId="0" applyNumberFormat="1" applyFont="1" applyFill="1" applyProtection="1"/>
    <xf numFmtId="44" fontId="5" fillId="0" borderId="10" xfId="2" applyFont="1" applyBorder="1" applyAlignment="1">
      <alignment horizontal="center"/>
    </xf>
    <xf numFmtId="44" fontId="12" fillId="0" borderId="10" xfId="2" applyFont="1" applyBorder="1" applyAlignment="1" applyProtection="1">
      <alignment horizontal="center" vertical="center"/>
    </xf>
    <xf numFmtId="0" fontId="9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10" fontId="5" fillId="0" borderId="10" xfId="3" applyNumberFormat="1" applyFont="1" applyBorder="1"/>
    <xf numFmtId="0" fontId="5" fillId="12" borderId="10" xfId="0" applyFont="1" applyFill="1" applyBorder="1" applyAlignment="1" applyProtection="1">
      <alignment horizontal="center" vertical="center"/>
    </xf>
    <xf numFmtId="44" fontId="11" fillId="12" borderId="10" xfId="2" applyFont="1" applyFill="1" applyBorder="1" applyAlignment="1" applyProtection="1">
      <alignment horizontal="center" vertical="center"/>
    </xf>
    <xf numFmtId="44" fontId="12" fillId="12" borderId="10" xfId="2" applyFont="1" applyFill="1" applyBorder="1" applyAlignment="1" applyProtection="1">
      <alignment horizontal="center" vertical="center"/>
    </xf>
    <xf numFmtId="44" fontId="16" fillId="13" borderId="10" xfId="2" applyFont="1" applyFill="1" applyBorder="1" applyAlignment="1" applyProtection="1">
      <alignment horizontal="center" vertical="center" wrapText="1"/>
    </xf>
    <xf numFmtId="165" fontId="5" fillId="2" borderId="10" xfId="1" applyNumberFormat="1" applyFont="1" applyFill="1" applyBorder="1" applyAlignment="1" applyProtection="1">
      <alignment horizontal="center" vertical="center"/>
      <protection locked="0"/>
    </xf>
    <xf numFmtId="44" fontId="5" fillId="0" borderId="0" xfId="0" applyNumberFormat="1" applyFont="1"/>
    <xf numFmtId="10" fontId="9" fillId="2" borderId="10" xfId="3" applyNumberFormat="1" applyFont="1" applyFill="1" applyBorder="1" applyAlignment="1" applyProtection="1">
      <alignment horizontal="center" vertical="center"/>
      <protection locked="0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7" xfId="0" applyFont="1" applyFill="1" applyBorder="1" applyAlignment="1" applyProtection="1">
      <alignment horizontal="center" vertical="center"/>
    </xf>
    <xf numFmtId="0" fontId="12" fillId="7" borderId="10" xfId="0" applyFont="1" applyFill="1" applyBorder="1" applyAlignment="1" applyProtection="1">
      <alignment horizontal="center" vertical="center"/>
    </xf>
    <xf numFmtId="0" fontId="5" fillId="12" borderId="10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left" vertical="center"/>
    </xf>
    <xf numFmtId="0" fontId="5" fillId="12" borderId="1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5" fillId="12" borderId="10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7" borderId="10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right" vertical="center"/>
    </xf>
    <xf numFmtId="0" fontId="5" fillId="3" borderId="8" xfId="0" applyFont="1" applyFill="1" applyBorder="1" applyAlignment="1" applyProtection="1">
      <alignment horizontal="right" vertical="center"/>
    </xf>
    <xf numFmtId="0" fontId="5" fillId="3" borderId="9" xfId="0" applyFont="1" applyFill="1" applyBorder="1" applyAlignment="1" applyProtection="1">
      <alignment horizontal="right" vertical="center"/>
    </xf>
    <xf numFmtId="9" fontId="5" fillId="2" borderId="7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12" borderId="10" xfId="0" applyFont="1" applyFill="1" applyBorder="1" applyAlignment="1" applyProtection="1">
      <alignment horizontal="center" vertical="center"/>
    </xf>
    <xf numFmtId="0" fontId="5" fillId="12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166" fontId="5" fillId="7" borderId="10" xfId="0" applyNumberFormat="1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</xf>
    <xf numFmtId="44" fontId="5" fillId="6" borderId="10" xfId="2" applyFont="1" applyFill="1" applyBorder="1" applyAlignment="1">
      <alignment horizontal="center" vertical="center" wrapText="1"/>
    </xf>
    <xf numFmtId="10" fontId="5" fillId="0" borderId="9" xfId="0" applyNumberFormat="1" applyFont="1" applyFill="1" applyBorder="1" applyAlignment="1" applyProtection="1">
      <alignment horizontal="center" vertical="center"/>
    </xf>
    <xf numFmtId="44" fontId="9" fillId="9" borderId="10" xfId="2" applyFont="1" applyFill="1" applyBorder="1" applyAlignment="1" applyProtection="1">
      <alignment horizontal="center" vertical="center"/>
    </xf>
    <xf numFmtId="10" fontId="9" fillId="7" borderId="10" xfId="0" applyNumberFormat="1" applyFont="1" applyFill="1" applyBorder="1" applyAlignment="1" applyProtection="1">
      <alignment horizontal="center" vertical="center"/>
    </xf>
    <xf numFmtId="44" fontId="9" fillId="0" borderId="10" xfId="2" applyFont="1" applyBorder="1" applyAlignment="1">
      <alignment horizontal="center" vertical="center" wrapText="1"/>
    </xf>
    <xf numFmtId="10" fontId="20" fillId="2" borderId="10" xfId="0" applyNumberFormat="1" applyFont="1" applyFill="1" applyBorder="1" applyAlignment="1" applyProtection="1">
      <alignment horizontal="center" vertical="center"/>
      <protection locked="0"/>
    </xf>
    <xf numFmtId="10" fontId="20" fillId="0" borderId="10" xfId="0" applyNumberFormat="1" applyFont="1" applyFill="1" applyBorder="1" applyAlignment="1" applyProtection="1">
      <alignment horizontal="center" vertical="center"/>
      <protection locked="0"/>
    </xf>
    <xf numFmtId="0" fontId="20" fillId="7" borderId="7" xfId="0" applyFont="1" applyFill="1" applyBorder="1" applyAlignment="1" applyProtection="1">
      <alignment horizontal="center" vertical="center"/>
    </xf>
    <xf numFmtId="44" fontId="19" fillId="12" borderId="10" xfId="2" applyFont="1" applyFill="1" applyBorder="1" applyAlignment="1" applyProtection="1">
      <alignment horizontal="center" vertical="center"/>
    </xf>
    <xf numFmtId="44" fontId="20" fillId="12" borderId="10" xfId="2" applyFont="1" applyFill="1" applyBorder="1" applyAlignment="1" applyProtection="1">
      <alignment horizontal="center" vertical="center"/>
    </xf>
    <xf numFmtId="44" fontId="20" fillId="0" borderId="10" xfId="2" applyFont="1" applyBorder="1" applyAlignment="1" applyProtection="1">
      <alignment horizontal="center" vertical="center"/>
    </xf>
    <xf numFmtId="0" fontId="20" fillId="0" borderId="0" xfId="0" applyFont="1"/>
    <xf numFmtId="44" fontId="20" fillId="12" borderId="10" xfId="2" applyFont="1" applyFill="1" applyBorder="1" applyAlignment="1">
      <alignment horizontal="center" vertical="center" wrapText="1"/>
    </xf>
    <xf numFmtId="44" fontId="20" fillId="0" borderId="0" xfId="0" applyNumberFormat="1" applyFont="1"/>
    <xf numFmtId="44" fontId="20" fillId="0" borderId="10" xfId="2" applyFont="1" applyBorder="1" applyAlignment="1">
      <alignment horizontal="center" vertical="center" wrapText="1"/>
    </xf>
    <xf numFmtId="164" fontId="20" fillId="0" borderId="0" xfId="4" applyNumberFormat="1" applyFont="1" applyFill="1" applyBorder="1" applyAlignment="1">
      <alignment horizontal="center" vertical="center" wrapText="1"/>
    </xf>
    <xf numFmtId="44" fontId="19" fillId="9" borderId="10" xfId="2" applyFont="1" applyFill="1" applyBorder="1" applyAlignment="1" applyProtection="1">
      <alignment horizontal="center" vertical="center"/>
    </xf>
    <xf numFmtId="44" fontId="19" fillId="0" borderId="0" xfId="2" applyFont="1" applyFill="1" applyBorder="1" applyAlignment="1" applyProtection="1">
      <alignment horizontal="center" vertical="center"/>
    </xf>
    <xf numFmtId="44" fontId="20" fillId="0" borderId="0" xfId="2" applyFont="1"/>
    <xf numFmtId="0" fontId="20" fillId="0" borderId="10" xfId="0" applyFont="1" applyFill="1" applyBorder="1" applyAlignment="1" applyProtection="1">
      <alignment horizontal="center" vertical="center"/>
    </xf>
    <xf numFmtId="10" fontId="20" fillId="7" borderId="10" xfId="0" applyNumberFormat="1" applyFont="1" applyFill="1" applyBorder="1" applyAlignment="1" applyProtection="1">
      <alignment horizontal="center" vertical="center"/>
    </xf>
    <xf numFmtId="44" fontId="20" fillId="0" borderId="10" xfId="2" applyFont="1" applyBorder="1" applyAlignment="1">
      <alignment horizontal="center" vertical="center"/>
    </xf>
    <xf numFmtId="0" fontId="22" fillId="0" borderId="0" xfId="0" applyFont="1"/>
    <xf numFmtId="10" fontId="20" fillId="0" borderId="0" xfId="3" applyNumberFormat="1" applyFont="1"/>
    <xf numFmtId="9" fontId="23" fillId="2" borderId="10" xfId="3" applyFont="1" applyFill="1" applyBorder="1" applyAlignment="1" applyProtection="1">
      <alignment horizontal="center" vertical="center"/>
      <protection locked="0"/>
    </xf>
    <xf numFmtId="44" fontId="20" fillId="0" borderId="10" xfId="2" applyNumberFormat="1" applyFont="1" applyBorder="1" applyAlignment="1">
      <alignment horizontal="center" vertical="center" wrapText="1"/>
    </xf>
    <xf numFmtId="44" fontId="20" fillId="2" borderId="10" xfId="2" applyFont="1" applyFill="1" applyBorder="1" applyAlignment="1" applyProtection="1">
      <alignment horizontal="center" vertical="center"/>
      <protection locked="0"/>
    </xf>
    <xf numFmtId="10" fontId="19" fillId="7" borderId="10" xfId="0" applyNumberFormat="1" applyFont="1" applyFill="1" applyBorder="1" applyAlignment="1" applyProtection="1">
      <alignment horizontal="center" vertical="center"/>
    </xf>
    <xf numFmtId="44" fontId="19" fillId="0" borderId="10" xfId="2" applyFont="1" applyBorder="1" applyAlignment="1">
      <alignment horizontal="center" vertical="center" wrapText="1"/>
    </xf>
    <xf numFmtId="0" fontId="20" fillId="6" borderId="10" xfId="0" applyFont="1" applyFill="1" applyBorder="1" applyAlignment="1" applyProtection="1">
      <alignment horizontal="center" vertical="center"/>
    </xf>
    <xf numFmtId="44" fontId="20" fillId="6" borderId="10" xfId="2" applyFont="1" applyFill="1" applyBorder="1" applyAlignment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/>
    </xf>
    <xf numFmtId="10" fontId="24" fillId="2" borderId="10" xfId="3" applyNumberFormat="1" applyFont="1" applyFill="1" applyBorder="1" applyAlignment="1" applyProtection="1">
      <alignment horizontal="center" vertical="center"/>
    </xf>
    <xf numFmtId="168" fontId="20" fillId="2" borderId="10" xfId="0" applyNumberFormat="1" applyFont="1" applyFill="1" applyBorder="1" applyAlignment="1" applyProtection="1">
      <alignment horizontal="center" vertical="center"/>
    </xf>
    <xf numFmtId="10" fontId="20" fillId="10" borderId="10" xfId="0" applyNumberFormat="1" applyFont="1" applyFill="1" applyBorder="1" applyAlignment="1" applyProtection="1">
      <alignment horizontal="center" vertical="center"/>
    </xf>
    <xf numFmtId="168" fontId="20" fillId="2" borderId="10" xfId="3" applyNumberFormat="1" applyFont="1" applyFill="1" applyBorder="1" applyAlignment="1" applyProtection="1">
      <alignment horizontal="center" vertical="center"/>
    </xf>
    <xf numFmtId="165" fontId="20" fillId="2" borderId="10" xfId="0" applyNumberFormat="1" applyFont="1" applyFill="1" applyBorder="1" applyAlignment="1" applyProtection="1">
      <alignment horizontal="center" vertical="center"/>
    </xf>
    <xf numFmtId="10" fontId="20" fillId="0" borderId="10" xfId="0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0" fillId="0" borderId="0" xfId="0" applyFont="1" applyAlignment="1">
      <alignment wrapText="1"/>
    </xf>
    <xf numFmtId="10" fontId="19" fillId="2" borderId="10" xfId="3" applyNumberFormat="1" applyFont="1" applyFill="1" applyBorder="1" applyAlignment="1" applyProtection="1">
      <alignment horizontal="center" vertical="center"/>
      <protection locked="0"/>
    </xf>
    <xf numFmtId="164" fontId="20" fillId="0" borderId="0" xfId="0" applyNumberFormat="1" applyFont="1"/>
    <xf numFmtId="44" fontId="20" fillId="0" borderId="10" xfId="2" applyFont="1" applyBorder="1"/>
    <xf numFmtId="10" fontId="20" fillId="2" borderId="10" xfId="3" applyNumberFormat="1" applyFont="1" applyFill="1" applyBorder="1" applyAlignment="1" applyProtection="1">
      <alignment horizontal="center" vertical="center"/>
      <protection locked="0"/>
    </xf>
    <xf numFmtId="44" fontId="20" fillId="0" borderId="10" xfId="2" applyFont="1" applyBorder="1" applyAlignment="1">
      <alignment horizontal="center"/>
    </xf>
    <xf numFmtId="44" fontId="27" fillId="13" borderId="10" xfId="2" applyFont="1" applyFill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left"/>
    </xf>
    <xf numFmtId="10" fontId="20" fillId="0" borderId="10" xfId="3" applyNumberFormat="1" applyFont="1" applyBorder="1"/>
    <xf numFmtId="0" fontId="20" fillId="0" borderId="0" xfId="0" applyFont="1" applyAlignment="1">
      <alignment horizontal="center"/>
    </xf>
    <xf numFmtId="165" fontId="20" fillId="0" borderId="0" xfId="0" applyNumberFormat="1" applyFont="1"/>
    <xf numFmtId="10" fontId="19" fillId="0" borderId="10" xfId="0" applyNumberFormat="1" applyFont="1" applyFill="1" applyBorder="1" applyAlignment="1" applyProtection="1">
      <alignment horizontal="center" vertical="center"/>
    </xf>
    <xf numFmtId="0" fontId="19" fillId="0" borderId="0" xfId="0" applyFont="1"/>
    <xf numFmtId="0" fontId="20" fillId="7" borderId="7" xfId="0" applyFont="1" applyFill="1" applyBorder="1" applyAlignment="1" applyProtection="1">
      <alignment vertical="center"/>
    </xf>
    <xf numFmtId="0" fontId="20" fillId="7" borderId="8" xfId="0" applyFont="1" applyFill="1" applyBorder="1" applyAlignment="1" applyProtection="1">
      <alignment vertical="center"/>
    </xf>
    <xf numFmtId="0" fontId="20" fillId="7" borderId="9" xfId="0" applyFont="1" applyFill="1" applyBorder="1" applyAlignment="1" applyProtection="1">
      <alignment vertical="center"/>
    </xf>
    <xf numFmtId="44" fontId="20" fillId="7" borderId="10" xfId="2" applyFont="1" applyFill="1" applyBorder="1" applyAlignment="1" applyProtection="1">
      <alignment vertical="center"/>
    </xf>
    <xf numFmtId="0" fontId="20" fillId="7" borderId="8" xfId="0" applyFont="1" applyFill="1" applyBorder="1" applyAlignment="1" applyProtection="1">
      <alignment vertical="center" wrapText="1"/>
    </xf>
    <xf numFmtId="0" fontId="20" fillId="7" borderId="9" xfId="0" applyFont="1" applyFill="1" applyBorder="1" applyAlignment="1" applyProtection="1">
      <alignment vertical="center" wrapText="1"/>
    </xf>
    <xf numFmtId="9" fontId="21" fillId="0" borderId="10" xfId="0" applyNumberFormat="1" applyFont="1" applyFill="1" applyBorder="1" applyAlignment="1" applyProtection="1">
      <alignment horizontal="left" vertical="center"/>
    </xf>
    <xf numFmtId="44" fontId="21" fillId="0" borderId="10" xfId="2" applyFont="1" applyBorder="1" applyAlignment="1">
      <alignment horizontal="center" vertical="center" wrapText="1"/>
    </xf>
    <xf numFmtId="0" fontId="19" fillId="0" borderId="8" xfId="0" applyFont="1" applyBorder="1" applyAlignment="1"/>
    <xf numFmtId="44" fontId="19" fillId="0" borderId="10" xfId="2" applyFont="1" applyBorder="1"/>
    <xf numFmtId="44" fontId="25" fillId="5" borderId="10" xfId="2" applyFont="1" applyFill="1" applyBorder="1"/>
    <xf numFmtId="0" fontId="25" fillId="14" borderId="0" xfId="0" applyFont="1" applyFill="1" applyBorder="1" applyAlignment="1">
      <alignment vertical="center" wrapText="1"/>
    </xf>
    <xf numFmtId="0" fontId="19" fillId="14" borderId="0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169" fontId="28" fillId="14" borderId="0" xfId="2" applyNumberFormat="1" applyFont="1" applyFill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left"/>
    </xf>
    <xf numFmtId="10" fontId="20" fillId="0" borderId="18" xfId="3" applyNumberFormat="1" applyFont="1" applyBorder="1"/>
    <xf numFmtId="10" fontId="20" fillId="0" borderId="23" xfId="3" applyNumberFormat="1" applyFont="1" applyBorder="1"/>
    <xf numFmtId="0" fontId="19" fillId="0" borderId="0" xfId="0" applyFont="1" applyBorder="1" applyAlignment="1">
      <alignment horizontal="left"/>
    </xf>
    <xf numFmtId="10" fontId="20" fillId="0" borderId="0" xfId="3" applyNumberFormat="1" applyFont="1" applyBorder="1"/>
    <xf numFmtId="0" fontId="20" fillId="0" borderId="0" xfId="0" applyFont="1" applyAlignment="1">
      <alignment vertical="center"/>
    </xf>
    <xf numFmtId="9" fontId="19" fillId="0" borderId="0" xfId="3" applyFont="1" applyAlignment="1">
      <alignment horizontal="center" vertical="center"/>
    </xf>
    <xf numFmtId="0" fontId="19" fillId="16" borderId="25" xfId="0" applyFont="1" applyFill="1" applyBorder="1" applyAlignment="1">
      <alignment vertical="center" wrapText="1"/>
    </xf>
    <xf numFmtId="0" fontId="20" fillId="17" borderId="25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43" fontId="20" fillId="0" borderId="25" xfId="1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vertical="center"/>
    </xf>
    <xf numFmtId="0" fontId="20" fillId="17" borderId="25" xfId="0" applyFont="1" applyFill="1" applyBorder="1" applyAlignment="1">
      <alignment horizontal="center" vertical="center"/>
    </xf>
    <xf numFmtId="170" fontId="20" fillId="0" borderId="25" xfId="0" applyNumberFormat="1" applyFont="1" applyBorder="1" applyAlignment="1">
      <alignment horizontal="center" vertical="center"/>
    </xf>
    <xf numFmtId="43" fontId="20" fillId="0" borderId="25" xfId="1" applyFont="1" applyBorder="1" applyAlignment="1">
      <alignment horizontal="center" vertical="center"/>
    </xf>
    <xf numFmtId="43" fontId="20" fillId="0" borderId="25" xfId="1" applyFont="1" applyFill="1" applyBorder="1" applyAlignment="1">
      <alignment horizontal="center" vertical="center"/>
    </xf>
    <xf numFmtId="171" fontId="20" fillId="0" borderId="0" xfId="0" applyNumberFormat="1" applyFont="1" applyAlignment="1">
      <alignment vertical="center"/>
    </xf>
    <xf numFmtId="0" fontId="19" fillId="0" borderId="25" xfId="0" applyFont="1" applyFill="1" applyBorder="1" applyAlignment="1">
      <alignment horizontal="left" vertical="center"/>
    </xf>
    <xf numFmtId="170" fontId="20" fillId="0" borderId="25" xfId="0" applyNumberFormat="1" applyFont="1" applyFill="1" applyBorder="1" applyAlignment="1">
      <alignment horizontal="center" vertical="center"/>
    </xf>
    <xf numFmtId="43" fontId="19" fillId="0" borderId="25" xfId="1" applyFont="1" applyBorder="1" applyAlignment="1">
      <alignment horizontal="center" vertical="center" wrapText="1"/>
    </xf>
    <xf numFmtId="44" fontId="19" fillId="0" borderId="0" xfId="2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0" fontId="19" fillId="0" borderId="25" xfId="0" applyFont="1" applyFill="1" applyBorder="1" applyAlignment="1">
      <alignment vertical="center"/>
    </xf>
    <xf numFmtId="0" fontId="19" fillId="17" borderId="25" xfId="0" applyFont="1" applyFill="1" applyBorder="1" applyAlignment="1">
      <alignment horizontal="center" vertical="center"/>
    </xf>
    <xf numFmtId="171" fontId="19" fillId="16" borderId="25" xfId="0" applyNumberFormat="1" applyFont="1" applyFill="1" applyBorder="1" applyAlignment="1">
      <alignment vertical="center" wrapText="1"/>
    </xf>
    <xf numFmtId="1" fontId="20" fillId="0" borderId="25" xfId="1" applyNumberFormat="1" applyFont="1" applyFill="1" applyBorder="1" applyAlignment="1">
      <alignment horizontal="center" vertical="center"/>
    </xf>
    <xf numFmtId="172" fontId="20" fillId="0" borderId="25" xfId="0" applyNumberFormat="1" applyFont="1" applyBorder="1" applyAlignment="1">
      <alignment horizontal="center" vertical="center"/>
    </xf>
    <xf numFmtId="173" fontId="20" fillId="0" borderId="0" xfId="1" applyNumberFormat="1" applyFont="1"/>
    <xf numFmtId="0" fontId="29" fillId="16" borderId="25" xfId="0" applyFont="1" applyFill="1" applyBorder="1" applyAlignment="1">
      <alignment vertical="center" wrapText="1"/>
    </xf>
    <xf numFmtId="0" fontId="28" fillId="17" borderId="25" xfId="0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43" fontId="28" fillId="0" borderId="25" xfId="1" applyFont="1" applyBorder="1" applyAlignment="1">
      <alignment horizontal="center" vertical="center" wrapText="1"/>
    </xf>
    <xf numFmtId="9" fontId="29" fillId="0" borderId="0" xfId="3" applyFont="1" applyAlignment="1">
      <alignment horizontal="center" vertical="center"/>
    </xf>
    <xf numFmtId="0" fontId="28" fillId="0" borderId="0" xfId="0" applyFont="1"/>
    <xf numFmtId="0" fontId="28" fillId="0" borderId="25" xfId="0" applyFont="1" applyFill="1" applyBorder="1" applyAlignment="1">
      <alignment vertical="center"/>
    </xf>
    <xf numFmtId="0" fontId="28" fillId="17" borderId="25" xfId="0" applyFont="1" applyFill="1" applyBorder="1" applyAlignment="1">
      <alignment horizontal="center" vertical="center"/>
    </xf>
    <xf numFmtId="170" fontId="28" fillId="0" borderId="25" xfId="0" applyNumberFormat="1" applyFont="1" applyBorder="1" applyAlignment="1">
      <alignment horizontal="center" vertical="center"/>
    </xf>
    <xf numFmtId="43" fontId="28" fillId="0" borderId="25" xfId="1" applyFont="1" applyBorder="1" applyAlignment="1">
      <alignment horizontal="center" vertical="center"/>
    </xf>
    <xf numFmtId="43" fontId="28" fillId="0" borderId="25" xfId="1" applyFont="1" applyFill="1" applyBorder="1" applyAlignment="1">
      <alignment horizontal="center" vertical="center"/>
    </xf>
    <xf numFmtId="2" fontId="28" fillId="0" borderId="25" xfId="0" applyNumberFormat="1" applyFont="1" applyBorder="1" applyAlignment="1">
      <alignment horizontal="center" vertical="center"/>
    </xf>
    <xf numFmtId="0" fontId="29" fillId="0" borderId="25" xfId="0" applyFont="1" applyFill="1" applyBorder="1" applyAlignment="1">
      <alignment vertical="center"/>
    </xf>
    <xf numFmtId="0" fontId="29" fillId="17" borderId="25" xfId="0" applyFont="1" applyFill="1" applyBorder="1" applyAlignment="1">
      <alignment horizontal="center" vertical="center"/>
    </xf>
    <xf numFmtId="43" fontId="29" fillId="0" borderId="25" xfId="1" applyFont="1" applyBorder="1" applyAlignment="1">
      <alignment horizontal="center" vertical="center" wrapText="1"/>
    </xf>
    <xf numFmtId="9" fontId="23" fillId="0" borderId="0" xfId="3" applyFont="1" applyAlignment="1">
      <alignment horizontal="center" vertical="center"/>
    </xf>
    <xf numFmtId="171" fontId="28" fillId="0" borderId="0" xfId="0" applyNumberFormat="1" applyFont="1" applyAlignment="1">
      <alignment horizontal="center" vertical="center"/>
    </xf>
    <xf numFmtId="17" fontId="28" fillId="17" borderId="25" xfId="0" applyNumberFormat="1" applyFont="1" applyFill="1" applyBorder="1" applyAlignment="1">
      <alignment horizontal="center" vertical="center"/>
    </xf>
    <xf numFmtId="43" fontId="28" fillId="0" borderId="25" xfId="1" applyFont="1" applyBorder="1" applyAlignment="1">
      <alignment vertical="center"/>
    </xf>
    <xf numFmtId="2" fontId="28" fillId="0" borderId="25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17" borderId="25" xfId="0" applyFont="1" applyFill="1" applyBorder="1" applyAlignment="1">
      <alignment vertical="center"/>
    </xf>
    <xf numFmtId="0" fontId="28" fillId="0" borderId="25" xfId="0" applyFont="1" applyBorder="1" applyAlignment="1">
      <alignment vertical="center"/>
    </xf>
    <xf numFmtId="174" fontId="28" fillId="0" borderId="25" xfId="0" applyNumberFormat="1" applyFont="1" applyBorder="1" applyAlignment="1">
      <alignment vertical="center"/>
    </xf>
    <xf numFmtId="0" fontId="29" fillId="16" borderId="25" xfId="0" applyFont="1" applyFill="1" applyBorder="1" applyAlignment="1">
      <alignment vertical="center"/>
    </xf>
    <xf numFmtId="43" fontId="28" fillId="0" borderId="25" xfId="1" applyFont="1" applyFill="1" applyBorder="1" applyAlignment="1">
      <alignment vertical="center"/>
    </xf>
    <xf numFmtId="9" fontId="28" fillId="0" borderId="0" xfId="3" applyFont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175" fontId="28" fillId="0" borderId="25" xfId="0" applyNumberFormat="1" applyFont="1" applyFill="1" applyBorder="1" applyAlignment="1">
      <alignment horizontal="center" vertical="center"/>
    </xf>
    <xf numFmtId="174" fontId="28" fillId="0" borderId="25" xfId="0" applyNumberFormat="1" applyFont="1" applyFill="1" applyBorder="1" applyAlignment="1">
      <alignment vertical="center"/>
    </xf>
    <xf numFmtId="0" fontId="19" fillId="16" borderId="25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43" fontId="20" fillId="0" borderId="25" xfId="1" applyFont="1" applyFill="1" applyBorder="1" applyAlignment="1">
      <alignment vertical="center"/>
    </xf>
    <xf numFmtId="0" fontId="20" fillId="0" borderId="25" xfId="0" applyNumberFormat="1" applyFont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175" fontId="20" fillId="0" borderId="25" xfId="0" applyNumberFormat="1" applyFont="1" applyFill="1" applyBorder="1" applyAlignment="1">
      <alignment horizontal="center" vertical="center"/>
    </xf>
    <xf numFmtId="174" fontId="20" fillId="0" borderId="25" xfId="0" applyNumberFormat="1" applyFont="1" applyFill="1" applyBorder="1" applyAlignment="1">
      <alignment vertical="center"/>
    </xf>
    <xf numFmtId="4" fontId="29" fillId="16" borderId="25" xfId="0" applyNumberFormat="1" applyFont="1" applyFill="1" applyBorder="1" applyAlignment="1">
      <alignment vertical="center" wrapText="1"/>
    </xf>
    <xf numFmtId="0" fontId="28" fillId="0" borderId="25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5" fontId="28" fillId="0" borderId="25" xfId="0" applyNumberFormat="1" applyFont="1" applyBorder="1" applyAlignment="1">
      <alignment horizontal="center" vertical="center"/>
    </xf>
    <xf numFmtId="176" fontId="28" fillId="0" borderId="25" xfId="1" applyNumberFormat="1" applyFont="1" applyBorder="1" applyAlignment="1">
      <alignment horizontal="center" vertical="center" wrapText="1"/>
    </xf>
    <xf numFmtId="177" fontId="29" fillId="0" borderId="25" xfId="1" applyNumberFormat="1" applyFont="1" applyBorder="1" applyAlignment="1">
      <alignment horizontal="center" vertical="center" wrapText="1"/>
    </xf>
    <xf numFmtId="0" fontId="19" fillId="15" borderId="25" xfId="0" applyFont="1" applyFill="1" applyBorder="1" applyAlignment="1">
      <alignment horizontal="center" vertical="center"/>
    </xf>
    <xf numFmtId="4" fontId="19" fillId="16" borderId="25" xfId="0" applyNumberFormat="1" applyFont="1" applyFill="1" applyBorder="1" applyAlignment="1">
      <alignment vertical="center"/>
    </xf>
    <xf numFmtId="17" fontId="20" fillId="17" borderId="25" xfId="0" applyNumberFormat="1" applyFont="1" applyFill="1" applyBorder="1" applyAlignment="1">
      <alignment horizontal="center" vertical="center"/>
    </xf>
    <xf numFmtId="175" fontId="20" fillId="0" borderId="25" xfId="0" applyNumberFormat="1" applyFont="1" applyBorder="1" applyAlignment="1">
      <alignment horizontal="center" vertical="center"/>
    </xf>
    <xf numFmtId="2" fontId="20" fillId="0" borderId="25" xfId="0" applyNumberFormat="1" applyFont="1" applyBorder="1" applyAlignment="1">
      <alignment horizontal="center" vertical="center"/>
    </xf>
    <xf numFmtId="171" fontId="19" fillId="0" borderId="25" xfId="1" applyNumberFormat="1" applyFont="1" applyBorder="1" applyAlignment="1">
      <alignment horizontal="center" vertical="center" wrapText="1"/>
    </xf>
    <xf numFmtId="1" fontId="20" fillId="0" borderId="25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39" fontId="19" fillId="0" borderId="0" xfId="1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43" fontId="20" fillId="0" borderId="0" xfId="1" applyFont="1" applyBorder="1" applyAlignment="1">
      <alignment vertical="center"/>
    </xf>
    <xf numFmtId="172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Fill="1" applyAlignment="1">
      <alignment vertical="center"/>
    </xf>
    <xf numFmtId="2" fontId="20" fillId="0" borderId="0" xfId="0" applyNumberFormat="1" applyFont="1" applyAlignment="1">
      <alignment horizontal="center" vertical="center"/>
    </xf>
    <xf numFmtId="2" fontId="20" fillId="0" borderId="0" xfId="0" applyNumberFormat="1" applyFont="1" applyFill="1" applyAlignment="1">
      <alignment vertical="center"/>
    </xf>
    <xf numFmtId="43" fontId="20" fillId="0" borderId="0" xfId="1" applyFont="1" applyAlignment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Protection="1">
      <protection locked="0"/>
    </xf>
    <xf numFmtId="1" fontId="1" fillId="0" borderId="4" xfId="1" applyNumberFormat="1" applyFont="1" applyFill="1" applyBorder="1" applyAlignment="1" applyProtection="1">
      <alignment horizontal="center"/>
    </xf>
    <xf numFmtId="1" fontId="35" fillId="0" borderId="6" xfId="1" applyNumberFormat="1" applyFont="1" applyFill="1" applyBorder="1" applyAlignment="1" applyProtection="1">
      <alignment horizontal="center" vertical="center"/>
    </xf>
    <xf numFmtId="49" fontId="0" fillId="0" borderId="12" xfId="0" applyNumberFormat="1" applyBorder="1" applyAlignment="1" applyProtection="1">
      <alignment horizontal="center"/>
    </xf>
    <xf numFmtId="49" fontId="0" fillId="0" borderId="28" xfId="0" applyNumberFormat="1" applyBorder="1" applyAlignment="1" applyProtection="1">
      <alignment horizontal="center"/>
    </xf>
    <xf numFmtId="49" fontId="0" fillId="0" borderId="13" xfId="0" applyNumberFormat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49" fontId="0" fillId="0" borderId="12" xfId="0" applyNumberFormat="1" applyFont="1" applyBorder="1" applyAlignment="1" applyProtection="1">
      <alignment horizontal="center" vertical="center" wrapText="1"/>
    </xf>
    <xf numFmtId="49" fontId="0" fillId="0" borderId="28" xfId="0" applyNumberFormat="1" applyBorder="1" applyAlignment="1" applyProtection="1">
      <alignment horizontal="center" wrapText="1"/>
    </xf>
    <xf numFmtId="49" fontId="0" fillId="0" borderId="12" xfId="0" applyNumberForma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/>
    </xf>
    <xf numFmtId="49" fontId="0" fillId="0" borderId="6" xfId="0" applyNumberForma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178" fontId="32" fillId="20" borderId="10" xfId="0" applyNumberFormat="1" applyFont="1" applyFill="1" applyBorder="1" applyAlignment="1" applyProtection="1">
      <alignment horizontal="distributed"/>
    </xf>
    <xf numFmtId="0" fontId="32" fillId="0" borderId="0" xfId="0" applyFont="1" applyFill="1" applyBorder="1" applyAlignment="1" applyProtection="1">
      <alignment horizontal="right" vertical="center" wrapText="1"/>
    </xf>
    <xf numFmtId="178" fontId="32" fillId="0" borderId="0" xfId="0" applyNumberFormat="1" applyFont="1" applyFill="1" applyBorder="1" applyAlignment="1" applyProtection="1">
      <alignment horizontal="distributed"/>
    </xf>
    <xf numFmtId="0" fontId="0" fillId="0" borderId="0" xfId="0" applyFill="1" applyBorder="1" applyProtection="1">
      <protection locked="0"/>
    </xf>
    <xf numFmtId="0" fontId="0" fillId="0" borderId="11" xfId="0" applyBorder="1" applyAlignment="1" applyProtection="1">
      <alignment horizontal="center" vertical="center"/>
    </xf>
    <xf numFmtId="180" fontId="36" fillId="0" borderId="10" xfId="1" applyNumberFormat="1" applyFont="1" applyBorder="1" applyAlignment="1" applyProtection="1">
      <alignment vertical="center"/>
    </xf>
    <xf numFmtId="0" fontId="41" fillId="0" borderId="0" xfId="0" applyFont="1" applyProtection="1">
      <protection locked="0"/>
    </xf>
    <xf numFmtId="0" fontId="41" fillId="0" borderId="0" xfId="0" applyFont="1" applyAlignment="1" applyProtection="1">
      <alignment horizontal="right"/>
      <protection locked="0"/>
    </xf>
    <xf numFmtId="0" fontId="30" fillId="21" borderId="30" xfId="0" applyFont="1" applyFill="1" applyBorder="1" applyAlignment="1">
      <alignment vertical="center"/>
    </xf>
    <xf numFmtId="0" fontId="30" fillId="21" borderId="31" xfId="0" applyFont="1" applyFill="1" applyBorder="1" applyAlignment="1">
      <alignment vertical="center"/>
    </xf>
    <xf numFmtId="44" fontId="30" fillId="0" borderId="0" xfId="2" applyFont="1" applyBorder="1"/>
    <xf numFmtId="0" fontId="30" fillId="0" borderId="0" xfId="0" applyFont="1" applyBorder="1"/>
    <xf numFmtId="0" fontId="0" fillId="0" borderId="0" xfId="0" applyBorder="1"/>
    <xf numFmtId="0" fontId="30" fillId="21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0" fillId="0" borderId="0" xfId="0" applyFont="1" applyBorder="1" applyAlignment="1"/>
    <xf numFmtId="0" fontId="30" fillId="0" borderId="33" xfId="0" applyFont="1" applyBorder="1" applyAlignment="1"/>
    <xf numFmtId="0" fontId="43" fillId="21" borderId="0" xfId="0" applyFont="1" applyFill="1" applyBorder="1" applyAlignment="1">
      <alignment vertical="center"/>
    </xf>
    <xf numFmtId="0" fontId="43" fillId="0" borderId="0" xfId="0" applyFont="1" applyBorder="1" applyAlignment="1"/>
    <xf numFmtId="0" fontId="43" fillId="0" borderId="33" xfId="0" applyFont="1" applyBorder="1" applyAlignment="1"/>
    <xf numFmtId="44" fontId="30" fillId="0" borderId="0" xfId="2" applyFont="1"/>
    <xf numFmtId="0" fontId="30" fillId="0" borderId="0" xfId="0" applyFont="1"/>
    <xf numFmtId="44" fontId="43" fillId="0" borderId="0" xfId="2" applyFont="1"/>
    <xf numFmtId="0" fontId="45" fillId="0" borderId="19" xfId="0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46" fillId="21" borderId="1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wrapText="1"/>
    </xf>
    <xf numFmtId="0" fontId="44" fillId="5" borderId="35" xfId="0" applyFont="1" applyFill="1" applyBorder="1" applyAlignment="1">
      <alignment horizontal="center"/>
    </xf>
    <xf numFmtId="174" fontId="44" fillId="5" borderId="35" xfId="0" applyNumberFormat="1" applyFont="1" applyFill="1" applyBorder="1" applyAlignment="1">
      <alignment horizontal="center"/>
    </xf>
    <xf numFmtId="44" fontId="0" fillId="0" borderId="0" xfId="2" applyFont="1"/>
    <xf numFmtId="44" fontId="19" fillId="12" borderId="38" xfId="2" applyFont="1" applyFill="1" applyBorder="1" applyAlignment="1" applyProtection="1">
      <alignment vertical="center"/>
    </xf>
    <xf numFmtId="44" fontId="19" fillId="14" borderId="10" xfId="2" applyFont="1" applyFill="1" applyBorder="1" applyAlignment="1">
      <alignment horizontal="center" vertical="center" wrapText="1"/>
    </xf>
    <xf numFmtId="168" fontId="20" fillId="2" borderId="1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20" fillId="0" borderId="0" xfId="0" applyFont="1" applyBorder="1"/>
    <xf numFmtId="44" fontId="47" fillId="0" borderId="10" xfId="2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44" fontId="47" fillId="0" borderId="18" xfId="2" applyFont="1" applyBorder="1" applyAlignment="1">
      <alignment horizontal="center" vertical="center"/>
    </xf>
    <xf numFmtId="0" fontId="0" fillId="0" borderId="30" xfId="0" applyBorder="1"/>
    <xf numFmtId="44" fontId="51" fillId="0" borderId="0" xfId="0" applyNumberFormat="1" applyFont="1"/>
    <xf numFmtId="0" fontId="51" fillId="0" borderId="0" xfId="0" applyFont="1" applyAlignment="1">
      <alignment horizontal="center"/>
    </xf>
    <xf numFmtId="0" fontId="44" fillId="5" borderId="22" xfId="0" applyFont="1" applyFill="1" applyBorder="1" applyAlignment="1">
      <alignment horizontal="center"/>
    </xf>
    <xf numFmtId="0" fontId="47" fillId="0" borderId="19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6" fillId="21" borderId="25" xfId="0" applyFont="1" applyFill="1" applyBorder="1" applyAlignment="1">
      <alignment horizontal="center" vertical="center"/>
    </xf>
    <xf numFmtId="44" fontId="47" fillId="0" borderId="25" xfId="2" applyFont="1" applyBorder="1" applyAlignment="1">
      <alignment horizontal="center" vertical="center"/>
    </xf>
    <xf numFmtId="44" fontId="47" fillId="0" borderId="39" xfId="2" applyFont="1" applyBorder="1" applyAlignment="1">
      <alignment horizontal="center" vertical="center"/>
    </xf>
    <xf numFmtId="0" fontId="52" fillId="5" borderId="0" xfId="0" applyFont="1" applyFill="1"/>
    <xf numFmtId="44" fontId="49" fillId="5" borderId="0" xfId="2" applyFont="1" applyFill="1"/>
    <xf numFmtId="0" fontId="20" fillId="0" borderId="0" xfId="0" applyFont="1" applyFill="1"/>
    <xf numFmtId="0" fontId="0" fillId="0" borderId="0" xfId="0" applyFill="1"/>
    <xf numFmtId="181" fontId="19" fillId="0" borderId="37" xfId="2" applyNumberFormat="1" applyFont="1" applyFill="1" applyBorder="1" applyAlignment="1" applyProtection="1">
      <alignment horizontal="center" vertical="center"/>
    </xf>
    <xf numFmtId="0" fontId="53" fillId="0" borderId="0" xfId="8"/>
    <xf numFmtId="44" fontId="20" fillId="0" borderId="10" xfId="2" applyFont="1" applyFill="1" applyBorder="1" applyAlignment="1" applyProtection="1">
      <alignment vertical="center"/>
    </xf>
    <xf numFmtId="0" fontId="20" fillId="12" borderId="25" xfId="0" applyFont="1" applyFill="1" applyBorder="1" applyAlignment="1" applyProtection="1">
      <alignment horizontal="center" vertical="center"/>
    </xf>
    <xf numFmtId="182" fontId="20" fillId="0" borderId="0" xfId="0" applyNumberFormat="1" applyFont="1"/>
    <xf numFmtId="44" fontId="21" fillId="0" borderId="0" xfId="0" applyNumberFormat="1" applyFont="1"/>
    <xf numFmtId="44" fontId="20" fillId="23" borderId="10" xfId="2" applyFont="1" applyFill="1" applyBorder="1" applyAlignment="1">
      <alignment horizontal="center" vertical="center" wrapText="1"/>
    </xf>
    <xf numFmtId="0" fontId="20" fillId="24" borderId="8" xfId="0" applyFont="1" applyFill="1" applyBorder="1" applyAlignment="1" applyProtection="1">
      <alignment horizontal="left" vertical="center"/>
    </xf>
    <xf numFmtId="0" fontId="20" fillId="24" borderId="9" xfId="0" applyFont="1" applyFill="1" applyBorder="1" applyAlignment="1" applyProtection="1">
      <alignment horizontal="left" vertical="center"/>
    </xf>
    <xf numFmtId="10" fontId="20" fillId="24" borderId="10" xfId="0" applyNumberFormat="1" applyFont="1" applyFill="1" applyBorder="1" applyAlignment="1" applyProtection="1">
      <alignment horizontal="center" vertical="center"/>
    </xf>
    <xf numFmtId="44" fontId="20" fillId="23" borderId="10" xfId="2" applyFont="1" applyFill="1" applyBorder="1" applyAlignment="1">
      <alignment horizontal="center" vertical="center"/>
    </xf>
    <xf numFmtId="10" fontId="19" fillId="23" borderId="10" xfId="0" applyNumberFormat="1" applyFont="1" applyFill="1" applyBorder="1" applyAlignment="1" applyProtection="1">
      <alignment horizontal="center" vertical="center"/>
    </xf>
    <xf numFmtId="44" fontId="20" fillId="0" borderId="10" xfId="2" applyFont="1" applyFill="1" applyBorder="1" applyAlignment="1">
      <alignment horizontal="center" vertical="center" wrapText="1"/>
    </xf>
    <xf numFmtId="9" fontId="21" fillId="0" borderId="25" xfId="0" applyNumberFormat="1" applyFont="1" applyFill="1" applyBorder="1" applyAlignment="1" applyProtection="1">
      <alignment horizontal="left" vertical="center"/>
    </xf>
    <xf numFmtId="44" fontId="20" fillId="0" borderId="25" xfId="2" applyFont="1" applyBorder="1" applyAlignment="1">
      <alignment horizontal="center" vertical="center" wrapText="1"/>
    </xf>
    <xf numFmtId="0" fontId="56" fillId="25" borderId="41" xfId="9" applyFont="1" applyFill="1" applyBorder="1" applyAlignment="1">
      <alignment horizontal="center" vertical="center" wrapText="1"/>
    </xf>
    <xf numFmtId="183" fontId="56" fillId="25" borderId="41" xfId="10" applyFont="1" applyFill="1" applyBorder="1" applyAlignment="1" applyProtection="1">
      <alignment horizontal="center" vertical="center" wrapText="1"/>
    </xf>
    <xf numFmtId="0" fontId="20" fillId="0" borderId="0" xfId="9" applyFont="1" applyFill="1" applyAlignment="1">
      <alignment vertical="center"/>
    </xf>
    <xf numFmtId="0" fontId="28" fillId="0" borderId="41" xfId="9" applyFont="1" applyFill="1" applyBorder="1" applyAlignment="1">
      <alignment vertical="center" wrapText="1"/>
    </xf>
    <xf numFmtId="0" fontId="20" fillId="0" borderId="41" xfId="9" applyFont="1" applyFill="1" applyBorder="1" applyAlignment="1">
      <alignment horizontal="center" vertical="center"/>
    </xf>
    <xf numFmtId="184" fontId="20" fillId="0" borderId="41" xfId="9" applyNumberFormat="1" applyFont="1" applyFill="1" applyBorder="1" applyAlignment="1">
      <alignment horizontal="center" vertical="center"/>
    </xf>
    <xf numFmtId="183" fontId="20" fillId="0" borderId="41" xfId="10" applyFont="1" applyFill="1" applyBorder="1" applyAlignment="1" applyProtection="1">
      <alignment horizontal="right" vertical="center"/>
    </xf>
    <xf numFmtId="183" fontId="28" fillId="0" borderId="41" xfId="10" applyFont="1" applyFill="1" applyBorder="1" applyAlignment="1" applyProtection="1">
      <alignment horizontal="right" vertical="center"/>
    </xf>
    <xf numFmtId="4" fontId="19" fillId="25" borderId="41" xfId="9" applyNumberFormat="1" applyFont="1" applyFill="1" applyBorder="1" applyAlignment="1">
      <alignment vertical="center"/>
    </xf>
    <xf numFmtId="0" fontId="20" fillId="26" borderId="41" xfId="9" applyFont="1" applyFill="1" applyBorder="1" applyAlignment="1">
      <alignment vertical="center" wrapText="1"/>
    </xf>
    <xf numFmtId="0" fontId="20" fillId="26" borderId="41" xfId="9" applyFont="1" applyFill="1" applyBorder="1" applyAlignment="1">
      <alignment horizontal="center" vertical="center"/>
    </xf>
    <xf numFmtId="1" fontId="20" fillId="26" borderId="41" xfId="9" applyNumberFormat="1" applyFont="1" applyFill="1" applyBorder="1" applyAlignment="1">
      <alignment horizontal="center" vertical="center"/>
    </xf>
    <xf numFmtId="181" fontId="20" fillId="26" borderId="0" xfId="9" applyNumberFormat="1" applyFont="1" applyFill="1"/>
    <xf numFmtId="4" fontId="20" fillId="26" borderId="41" xfId="10" applyNumberFormat="1" applyFont="1" applyFill="1" applyBorder="1" applyAlignment="1" applyProtection="1">
      <alignment horizontal="right" vertical="center"/>
    </xf>
    <xf numFmtId="181" fontId="20" fillId="26" borderId="41" xfId="2" applyNumberFormat="1" applyFont="1" applyFill="1" applyBorder="1" applyAlignment="1" applyProtection="1">
      <alignment horizontal="right" vertical="center"/>
    </xf>
    <xf numFmtId="4" fontId="29" fillId="25" borderId="41" xfId="10" applyNumberFormat="1" applyFont="1" applyFill="1" applyBorder="1" applyAlignment="1" applyProtection="1">
      <alignment horizontal="right" vertical="center"/>
    </xf>
    <xf numFmtId="4" fontId="19" fillId="25" borderId="41" xfId="10" applyNumberFormat="1" applyFont="1" applyFill="1" applyBorder="1" applyAlignment="1" applyProtection="1">
      <alignment horizontal="right" vertical="center"/>
    </xf>
    <xf numFmtId="183" fontId="28" fillId="0" borderId="0" xfId="10" applyFont="1" applyFill="1" applyBorder="1" applyAlignment="1" applyProtection="1">
      <alignment horizontal="right" vertical="center"/>
    </xf>
    <xf numFmtId="0" fontId="19" fillId="0" borderId="0" xfId="9" applyFont="1" applyFill="1" applyBorder="1" applyAlignment="1">
      <alignment horizontal="right" vertical="center"/>
    </xf>
    <xf numFmtId="4" fontId="19" fillId="0" borderId="0" xfId="10" applyNumberFormat="1" applyFont="1" applyFill="1" applyBorder="1" applyAlignment="1" applyProtection="1">
      <alignment horizontal="right" vertical="center"/>
    </xf>
    <xf numFmtId="0" fontId="56" fillId="25" borderId="41" xfId="9" applyFont="1" applyFill="1" applyBorder="1" applyAlignment="1">
      <alignment horizontal="center" vertical="center"/>
    </xf>
    <xf numFmtId="4" fontId="19" fillId="25" borderId="42" xfId="9" applyNumberFormat="1" applyFont="1" applyFill="1" applyBorder="1" applyAlignment="1">
      <alignment vertical="center"/>
    </xf>
    <xf numFmtId="4" fontId="20" fillId="0" borderId="0" xfId="9" applyNumberFormat="1" applyFont="1" applyFill="1" applyAlignment="1">
      <alignment vertical="center"/>
    </xf>
    <xf numFmtId="0" fontId="57" fillId="25" borderId="41" xfId="9" applyFont="1" applyFill="1" applyBorder="1" applyAlignment="1">
      <alignment horizontal="center" vertical="center"/>
    </xf>
    <xf numFmtId="0" fontId="20" fillId="0" borderId="0" xfId="9" applyFont="1" applyFill="1" applyAlignment="1">
      <alignment horizontal="center" vertical="center"/>
    </xf>
    <xf numFmtId="0" fontId="44" fillId="5" borderId="12" xfId="0" applyFont="1" applyFill="1" applyBorder="1" applyAlignment="1">
      <alignment horizontal="center" vertical="center"/>
    </xf>
    <xf numFmtId="0" fontId="20" fillId="22" borderId="39" xfId="0" applyFont="1" applyFill="1" applyBorder="1" applyAlignment="1" applyProtection="1">
      <alignment vertical="center"/>
    </xf>
    <xf numFmtId="0" fontId="20" fillId="22" borderId="37" xfId="0" applyFont="1" applyFill="1" applyBorder="1" applyAlignment="1" applyProtection="1">
      <alignment vertical="center"/>
    </xf>
    <xf numFmtId="9" fontId="20" fillId="22" borderId="25" xfId="0" applyNumberFormat="1" applyFont="1" applyFill="1" applyBorder="1" applyAlignment="1" applyProtection="1">
      <alignment vertical="center"/>
    </xf>
    <xf numFmtId="0" fontId="20" fillId="7" borderId="10" xfId="0" applyFont="1" applyFill="1" applyBorder="1" applyAlignment="1" applyProtection="1">
      <alignment horizontal="left" vertical="center"/>
    </xf>
    <xf numFmtId="0" fontId="20" fillId="7" borderId="8" xfId="0" applyFont="1" applyFill="1" applyBorder="1" applyAlignment="1" applyProtection="1">
      <alignment horizontal="left" vertical="center"/>
    </xf>
    <xf numFmtId="0" fontId="20" fillId="7" borderId="9" xfId="0" applyFont="1" applyFill="1" applyBorder="1" applyAlignment="1" applyProtection="1">
      <alignment horizontal="left" vertical="center"/>
    </xf>
    <xf numFmtId="0" fontId="20" fillId="7" borderId="10" xfId="0" applyFont="1" applyFill="1" applyBorder="1" applyAlignment="1" applyProtection="1">
      <alignment vertical="center"/>
    </xf>
    <xf numFmtId="0" fontId="20" fillId="7" borderId="10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left" vertical="center"/>
    </xf>
    <xf numFmtId="0" fontId="20" fillId="3" borderId="9" xfId="0" applyFont="1" applyFill="1" applyBorder="1" applyAlignment="1" applyProtection="1">
      <alignment horizontal="left" vertical="center"/>
    </xf>
    <xf numFmtId="0" fontId="20" fillId="12" borderId="10" xfId="0" applyFont="1" applyFill="1" applyBorder="1" applyAlignment="1" applyProtection="1">
      <alignment horizontal="center" vertical="center"/>
    </xf>
    <xf numFmtId="0" fontId="19" fillId="0" borderId="9" xfId="0" applyFont="1" applyBorder="1" applyAlignment="1">
      <alignment horizontal="center"/>
    </xf>
    <xf numFmtId="44" fontId="44" fillId="5" borderId="12" xfId="2" applyFont="1" applyFill="1" applyBorder="1" applyAlignment="1">
      <alignment horizontal="center" vertical="center"/>
    </xf>
    <xf numFmtId="0" fontId="61" fillId="27" borderId="25" xfId="0" applyFont="1" applyFill="1" applyBorder="1" applyAlignment="1" applyProtection="1">
      <alignment horizontal="center"/>
      <protection locked="0"/>
    </xf>
    <xf numFmtId="0" fontId="30" fillId="14" borderId="0" xfId="0" applyFont="1" applyFill="1" applyBorder="1"/>
    <xf numFmtId="44" fontId="30" fillId="14" borderId="0" xfId="2" applyFont="1" applyFill="1" applyBorder="1"/>
    <xf numFmtId="0" fontId="0" fillId="14" borderId="0" xfId="0" applyFill="1" applyBorder="1"/>
    <xf numFmtId="0" fontId="0" fillId="14" borderId="32" xfId="0" applyFill="1" applyBorder="1"/>
    <xf numFmtId="0" fontId="0" fillId="14" borderId="0" xfId="0" applyFill="1" applyBorder="1" applyAlignment="1">
      <alignment vertical="center"/>
    </xf>
    <xf numFmtId="0" fontId="0" fillId="14" borderId="33" xfId="0" applyFill="1" applyBorder="1" applyAlignment="1">
      <alignment vertical="center"/>
    </xf>
    <xf numFmtId="0" fontId="0" fillId="14" borderId="0" xfId="0" applyFill="1"/>
    <xf numFmtId="44" fontId="0" fillId="14" borderId="0" xfId="2" applyFont="1" applyFill="1"/>
    <xf numFmtId="0" fontId="45" fillId="14" borderId="25" xfId="0" applyFont="1" applyFill="1" applyBorder="1" applyAlignment="1">
      <alignment horizontal="center" vertical="center"/>
    </xf>
    <xf numFmtId="0" fontId="46" fillId="14" borderId="25" xfId="0" applyFont="1" applyFill="1" applyBorder="1" applyAlignment="1">
      <alignment horizontal="center" vertical="center"/>
    </xf>
    <xf numFmtId="0" fontId="45" fillId="14" borderId="25" xfId="0" applyFont="1" applyFill="1" applyBorder="1" applyAlignment="1">
      <alignment horizontal="center" vertical="center" wrapText="1"/>
    </xf>
    <xf numFmtId="44" fontId="46" fillId="14" borderId="25" xfId="0" applyNumberFormat="1" applyFont="1" applyFill="1" applyBorder="1" applyAlignment="1">
      <alignment horizontal="center" vertical="center"/>
    </xf>
    <xf numFmtId="44" fontId="45" fillId="14" borderId="25" xfId="0" applyNumberFormat="1" applyFont="1" applyFill="1" applyBorder="1" applyAlignment="1">
      <alignment horizontal="center" vertical="center" wrapText="1"/>
    </xf>
    <xf numFmtId="181" fontId="23" fillId="14" borderId="0" xfId="2" applyNumberFormat="1" applyFont="1" applyFill="1" applyAlignment="1">
      <alignment horizontal="center" vertical="center"/>
    </xf>
    <xf numFmtId="0" fontId="60" fillId="14" borderId="0" xfId="0" applyFont="1" applyFill="1" applyBorder="1" applyAlignment="1">
      <alignment horizontal="center" vertical="center" wrapText="1"/>
    </xf>
    <xf numFmtId="0" fontId="60" fillId="14" borderId="0" xfId="0" applyFont="1" applyFill="1" applyBorder="1" applyAlignment="1">
      <alignment vertical="center" wrapText="1"/>
    </xf>
    <xf numFmtId="44" fontId="0" fillId="14" borderId="0" xfId="0" applyNumberFormat="1" applyFill="1" applyAlignment="1">
      <alignment vertical="center"/>
    </xf>
    <xf numFmtId="0" fontId="44" fillId="14" borderId="0" xfId="0" applyFont="1" applyFill="1" applyBorder="1" applyAlignment="1">
      <alignment horizontal="center"/>
    </xf>
    <xf numFmtId="0" fontId="44" fillId="14" borderId="0" xfId="0" applyFont="1" applyFill="1" applyBorder="1" applyAlignment="1">
      <alignment horizontal="center" vertical="center"/>
    </xf>
    <xf numFmtId="174" fontId="44" fillId="14" borderId="0" xfId="0" applyNumberFormat="1" applyFont="1" applyFill="1" applyBorder="1" applyAlignment="1">
      <alignment horizontal="center" vertical="center"/>
    </xf>
    <xf numFmtId="44" fontId="51" fillId="14" borderId="0" xfId="2" applyFont="1" applyFill="1" applyBorder="1"/>
    <xf numFmtId="44" fontId="0" fillId="14" borderId="0" xfId="2" applyFont="1" applyFill="1" applyBorder="1"/>
    <xf numFmtId="0" fontId="58" fillId="14" borderId="0" xfId="0" applyFont="1" applyFill="1"/>
    <xf numFmtId="0" fontId="11" fillId="14" borderId="0" xfId="0" applyFont="1" applyFill="1" applyBorder="1" applyAlignment="1">
      <alignment horizontal="left" vertical="center" wrapText="1"/>
    </xf>
    <xf numFmtId="0" fontId="0" fillId="14" borderId="0" xfId="0" applyFill="1" applyAlignment="1">
      <alignment vertical="center"/>
    </xf>
    <xf numFmtId="0" fontId="59" fillId="14" borderId="0" xfId="0" applyFont="1" applyFill="1"/>
    <xf numFmtId="0" fontId="54" fillId="14" borderId="0" xfId="0" applyFont="1" applyFill="1" applyAlignment="1">
      <alignment vertical="center"/>
    </xf>
    <xf numFmtId="0" fontId="54" fillId="14" borderId="0" xfId="0" applyFont="1" applyFill="1"/>
    <xf numFmtId="0" fontId="5" fillId="3" borderId="7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right" vertical="center"/>
    </xf>
    <xf numFmtId="0" fontId="5" fillId="3" borderId="8" xfId="0" applyFont="1" applyFill="1" applyBorder="1" applyAlignment="1" applyProtection="1">
      <alignment horizontal="right" vertical="center"/>
    </xf>
    <xf numFmtId="0" fontId="5" fillId="3" borderId="9" xfId="0" applyFont="1" applyFill="1" applyBorder="1" applyAlignment="1" applyProtection="1">
      <alignment horizontal="right" vertical="center"/>
    </xf>
    <xf numFmtId="10" fontId="5" fillId="2" borderId="7" xfId="0" applyNumberFormat="1" applyFont="1" applyFill="1" applyBorder="1" applyAlignment="1" applyProtection="1">
      <alignment horizontal="center" vertical="center"/>
    </xf>
    <xf numFmtId="10" fontId="5" fillId="2" borderId="9" xfId="0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5" fillId="7" borderId="10" xfId="0" applyFont="1" applyFill="1" applyBorder="1" applyAlignment="1" applyProtection="1">
      <alignment vertical="center"/>
    </xf>
    <xf numFmtId="0" fontId="5" fillId="12" borderId="10" xfId="0" applyFont="1" applyFill="1" applyBorder="1" applyAlignment="1" applyProtection="1">
      <alignment horizontal="left" vertical="center"/>
    </xf>
    <xf numFmtId="0" fontId="15" fillId="13" borderId="10" xfId="0" applyFont="1" applyFill="1" applyBorder="1" applyAlignment="1" applyProtection="1">
      <alignment horizontal="left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12" borderId="10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44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4" fontId="5" fillId="0" borderId="7" xfId="2" applyFont="1" applyBorder="1" applyAlignment="1">
      <alignment horizontal="center" vertical="center"/>
    </xf>
    <xf numFmtId="44" fontId="5" fillId="0" borderId="8" xfId="2" applyFont="1" applyBorder="1" applyAlignment="1">
      <alignment horizontal="center" vertical="center"/>
    </xf>
    <xf numFmtId="0" fontId="12" fillId="7" borderId="10" xfId="0" applyFont="1" applyFill="1" applyBorder="1" applyAlignment="1" applyProtection="1">
      <alignment horizontal="center" vertical="center"/>
    </xf>
    <xf numFmtId="0" fontId="9" fillId="7" borderId="7" xfId="0" applyFont="1" applyFill="1" applyBorder="1" applyAlignment="1" applyProtection="1">
      <alignment horizontal="center" vertical="center"/>
    </xf>
    <xf numFmtId="0" fontId="9" fillId="7" borderId="8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horizontal="center" vertical="center"/>
    </xf>
    <xf numFmtId="44" fontId="11" fillId="0" borderId="7" xfId="2" applyFont="1" applyBorder="1" applyAlignment="1" applyProtection="1">
      <alignment horizontal="center" vertical="center"/>
    </xf>
    <xf numFmtId="44" fontId="11" fillId="0" borderId="9" xfId="2" applyFont="1" applyBorder="1" applyAlignment="1" applyProtection="1">
      <alignment horizontal="center" vertical="center"/>
    </xf>
    <xf numFmtId="0" fontId="5" fillId="7" borderId="7" xfId="0" applyFont="1" applyFill="1" applyBorder="1" applyAlignment="1" applyProtection="1">
      <alignment horizontal="center" vertical="center"/>
    </xf>
    <xf numFmtId="0" fontId="5" fillId="7" borderId="8" xfId="0" applyFont="1" applyFill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 vertical="center"/>
    </xf>
    <xf numFmtId="165" fontId="12" fillId="7" borderId="7" xfId="0" applyNumberFormat="1" applyFont="1" applyFill="1" applyBorder="1" applyAlignment="1" applyProtection="1">
      <alignment horizontal="center" vertical="center" wrapText="1"/>
    </xf>
    <xf numFmtId="165" fontId="12" fillId="7" borderId="9" xfId="0" applyNumberFormat="1" applyFont="1" applyFill="1" applyBorder="1" applyAlignment="1" applyProtection="1">
      <alignment horizontal="center" vertical="center" wrapText="1"/>
    </xf>
    <xf numFmtId="10" fontId="12" fillId="9" borderId="10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7" borderId="7" xfId="0" applyFont="1" applyFill="1" applyBorder="1" applyAlignment="1" applyProtection="1">
      <alignment horizontal="left" vertical="center"/>
    </xf>
    <xf numFmtId="0" fontId="5" fillId="7" borderId="8" xfId="0" applyFont="1" applyFill="1" applyBorder="1" applyAlignment="1" applyProtection="1">
      <alignment horizontal="left" vertical="center"/>
    </xf>
    <xf numFmtId="0" fontId="5" fillId="7" borderId="9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11" fillId="12" borderId="10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horizontal="left" vertical="center"/>
    </xf>
    <xf numFmtId="0" fontId="5" fillId="7" borderId="10" xfId="0" applyFont="1" applyFill="1" applyBorder="1" applyAlignment="1" applyProtection="1">
      <alignment horizontal="center" vertical="center"/>
    </xf>
    <xf numFmtId="0" fontId="5" fillId="7" borderId="10" xfId="0" quotePrefix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</xf>
    <xf numFmtId="10" fontId="12" fillId="2" borderId="7" xfId="0" applyNumberFormat="1" applyFont="1" applyFill="1" applyBorder="1" applyAlignment="1" applyProtection="1">
      <alignment horizontal="center" vertical="center"/>
      <protection locked="0"/>
    </xf>
    <xf numFmtId="10" fontId="12" fillId="2" borderId="9" xfId="0" applyNumberFormat="1" applyFont="1" applyFill="1" applyBorder="1" applyAlignment="1" applyProtection="1">
      <alignment horizontal="center" vertical="center"/>
      <protection locked="0"/>
    </xf>
    <xf numFmtId="167" fontId="5" fillId="9" borderId="0" xfId="0" applyNumberFormat="1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9" fillId="11" borderId="1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/>
    </xf>
    <xf numFmtId="9" fontId="5" fillId="2" borderId="7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9" fillId="12" borderId="1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9" fillId="9" borderId="10" xfId="0" applyFont="1" applyFill="1" applyBorder="1" applyAlignment="1" applyProtection="1">
      <alignment horizontal="center" vertical="center"/>
    </xf>
    <xf numFmtId="0" fontId="44" fillId="5" borderId="20" xfId="0" applyFont="1" applyFill="1" applyBorder="1" applyAlignment="1">
      <alignment horizontal="center"/>
    </xf>
    <xf numFmtId="0" fontId="44" fillId="5" borderId="21" xfId="0" applyFont="1" applyFill="1" applyBorder="1" applyAlignment="1">
      <alignment horizontal="center"/>
    </xf>
    <xf numFmtId="0" fontId="44" fillId="5" borderId="22" xfId="0" applyFont="1" applyFill="1" applyBorder="1" applyAlignment="1">
      <alignment horizontal="center"/>
    </xf>
    <xf numFmtId="0" fontId="30" fillId="21" borderId="29" xfId="0" applyFont="1" applyFill="1" applyBorder="1" applyAlignment="1">
      <alignment horizontal="left" vertical="center"/>
    </xf>
    <xf numFmtId="0" fontId="30" fillId="0" borderId="30" xfId="0" applyFont="1" applyBorder="1" applyAlignment="1">
      <alignment horizontal="left" vertical="center"/>
    </xf>
    <xf numFmtId="0" fontId="30" fillId="21" borderId="32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44" fillId="5" borderId="34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/>
    </xf>
    <xf numFmtId="0" fontId="44" fillId="5" borderId="24" xfId="0" applyFont="1" applyFill="1" applyBorder="1" applyAlignment="1">
      <alignment horizontal="center" vertical="center"/>
    </xf>
    <xf numFmtId="0" fontId="0" fillId="14" borderId="37" xfId="0" applyFill="1" applyBorder="1" applyAlignment="1">
      <alignment horizontal="center"/>
    </xf>
    <xf numFmtId="0" fontId="45" fillId="14" borderId="13" xfId="0" applyFont="1" applyFill="1" applyBorder="1" applyAlignment="1">
      <alignment horizontal="center" vertical="center"/>
    </xf>
    <xf numFmtId="0" fontId="45" fillId="14" borderId="11" xfId="0" applyFont="1" applyFill="1" applyBorder="1" applyAlignment="1">
      <alignment horizontal="center" vertical="center"/>
    </xf>
    <xf numFmtId="0" fontId="44" fillId="14" borderId="14" xfId="0" applyFont="1" applyFill="1" applyBorder="1" applyAlignment="1">
      <alignment horizontal="center" vertical="center" wrapText="1"/>
    </xf>
    <xf numFmtId="0" fontId="44" fillId="14" borderId="15" xfId="0" applyFont="1" applyFill="1" applyBorder="1" applyAlignment="1">
      <alignment horizontal="center" vertical="center"/>
    </xf>
    <xf numFmtId="0" fontId="44" fillId="14" borderId="16" xfId="0" applyFont="1" applyFill="1" applyBorder="1" applyAlignment="1">
      <alignment horizontal="center" vertical="center"/>
    </xf>
    <xf numFmtId="0" fontId="44" fillId="5" borderId="40" xfId="0" applyFont="1" applyFill="1" applyBorder="1" applyAlignment="1">
      <alignment horizontal="center" vertical="center"/>
    </xf>
    <xf numFmtId="0" fontId="44" fillId="5" borderId="26" xfId="0" applyFont="1" applyFill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/>
    </xf>
    <xf numFmtId="0" fontId="46" fillId="14" borderId="29" xfId="0" applyFont="1" applyFill="1" applyBorder="1" applyAlignment="1">
      <alignment horizontal="center" vertical="center"/>
    </xf>
    <xf numFmtId="0" fontId="46" fillId="14" borderId="30" xfId="0" applyFont="1" applyFill="1" applyBorder="1" applyAlignment="1">
      <alignment horizontal="center" vertical="center"/>
    </xf>
    <xf numFmtId="0" fontId="46" fillId="14" borderId="31" xfId="0" applyFont="1" applyFill="1" applyBorder="1" applyAlignment="1">
      <alignment horizontal="center" vertical="center"/>
    </xf>
    <xf numFmtId="0" fontId="19" fillId="15" borderId="25" xfId="0" applyFont="1" applyFill="1" applyBorder="1" applyAlignment="1">
      <alignment horizontal="center" vertical="center"/>
    </xf>
    <xf numFmtId="0" fontId="23" fillId="15" borderId="25" xfId="0" applyFont="1" applyFill="1" applyBorder="1" applyAlignment="1">
      <alignment horizontal="center" vertical="center"/>
    </xf>
    <xf numFmtId="170" fontId="19" fillId="0" borderId="25" xfId="0" applyNumberFormat="1" applyFont="1" applyBorder="1" applyAlignment="1">
      <alignment horizontal="center" vertical="center"/>
    </xf>
    <xf numFmtId="170" fontId="19" fillId="0" borderId="25" xfId="0" applyNumberFormat="1" applyFont="1" applyFill="1" applyBorder="1" applyAlignment="1">
      <alignment horizontal="center" vertical="center"/>
    </xf>
    <xf numFmtId="170" fontId="29" fillId="0" borderId="2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center"/>
    </xf>
    <xf numFmtId="0" fontId="32" fillId="18" borderId="10" xfId="0" applyFont="1" applyFill="1" applyBorder="1" applyAlignment="1" applyProtection="1">
      <alignment horizontal="center"/>
    </xf>
    <xf numFmtId="0" fontId="32" fillId="19" borderId="7" xfId="0" applyFont="1" applyFill="1" applyBorder="1" applyAlignment="1" applyProtection="1">
      <alignment horizontal="center"/>
    </xf>
    <xf numFmtId="0" fontId="32" fillId="19" borderId="8" xfId="0" applyFont="1" applyFill="1" applyBorder="1" applyAlignment="1" applyProtection="1">
      <alignment horizontal="center"/>
    </xf>
    <xf numFmtId="0" fontId="32" fillId="19" borderId="9" xfId="0" applyFont="1" applyFill="1" applyBorder="1" applyAlignment="1" applyProtection="1">
      <alignment horizont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49" fontId="0" fillId="0" borderId="27" xfId="0" applyNumberFormat="1" applyBorder="1" applyAlignment="1" applyProtection="1">
      <alignment horizontal="center"/>
    </xf>
    <xf numFmtId="49" fontId="0" fillId="0" borderId="28" xfId="0" applyNumberFormat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0" fontId="33" fillId="0" borderId="1" xfId="0" applyFont="1" applyFill="1" applyBorder="1" applyAlignment="1" applyProtection="1">
      <alignment horizontal="center"/>
    </xf>
    <xf numFmtId="0" fontId="33" fillId="0" borderId="3" xfId="0" applyFont="1" applyFill="1" applyBorder="1" applyAlignment="1" applyProtection="1">
      <alignment horizontal="center"/>
    </xf>
    <xf numFmtId="178" fontId="36" fillId="0" borderId="10" xfId="0" applyNumberFormat="1" applyFont="1" applyFill="1" applyBorder="1" applyAlignment="1" applyProtection="1">
      <alignment horizontal="distributed" vertical="center"/>
    </xf>
    <xf numFmtId="178" fontId="0" fillId="0" borderId="10" xfId="0" applyNumberFormat="1" applyFill="1" applyBorder="1" applyAlignment="1" applyProtection="1">
      <alignment horizontal="center" vertical="center"/>
    </xf>
    <xf numFmtId="1" fontId="0" fillId="0" borderId="4" xfId="0" applyNumberForma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32" fillId="20" borderId="7" xfId="0" applyFont="1" applyFill="1" applyBorder="1" applyAlignment="1" applyProtection="1">
      <alignment horizontal="right" vertical="center" wrapText="1"/>
    </xf>
    <xf numFmtId="0" fontId="32" fillId="20" borderId="8" xfId="0" applyFont="1" applyFill="1" applyBorder="1" applyAlignment="1" applyProtection="1">
      <alignment horizontal="right" vertical="center" wrapText="1"/>
    </xf>
    <xf numFmtId="0" fontId="32" fillId="20" borderId="9" xfId="0" applyFont="1" applyFill="1" applyBorder="1" applyAlignment="1" applyProtection="1">
      <alignment horizontal="right" vertical="center" wrapText="1"/>
    </xf>
    <xf numFmtId="178" fontId="32" fillId="20" borderId="10" xfId="0" applyNumberFormat="1" applyFont="1" applyFill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/>
    </xf>
    <xf numFmtId="49" fontId="0" fillId="0" borderId="6" xfId="0" applyNumberFormat="1" applyBorder="1" applyAlignment="1" applyProtection="1">
      <alignment horizontal="center"/>
    </xf>
    <xf numFmtId="49" fontId="0" fillId="0" borderId="5" xfId="0" applyNumberFormat="1" applyBorder="1" applyAlignment="1" applyProtection="1">
      <alignment horizont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178" fontId="34" fillId="0" borderId="9" xfId="0" applyNumberFormat="1" applyFont="1" applyFill="1" applyBorder="1" applyAlignment="1" applyProtection="1">
      <alignment horizontal="distributed" vertical="center"/>
      <protection locked="0"/>
    </xf>
    <xf numFmtId="178" fontId="34" fillId="0" borderId="10" xfId="0" applyNumberFormat="1" applyFont="1" applyFill="1" applyBorder="1" applyAlignment="1" applyProtection="1">
      <alignment horizontal="distributed" vertical="center"/>
      <protection locked="0"/>
    </xf>
    <xf numFmtId="0" fontId="0" fillId="0" borderId="10" xfId="0" applyBorder="1" applyAlignment="1" applyProtection="1">
      <alignment horizontal="center" vertical="center"/>
    </xf>
    <xf numFmtId="178" fontId="0" fillId="0" borderId="10" xfId="0" applyNumberFormat="1" applyFill="1" applyBorder="1" applyAlignment="1" applyProtection="1">
      <alignment horizontal="distributed" vertical="center"/>
    </xf>
    <xf numFmtId="1" fontId="0" fillId="0" borderId="6" xfId="0" applyNumberFormat="1" applyFill="1" applyBorder="1" applyAlignment="1" applyProtection="1">
      <alignment horizontal="center"/>
    </xf>
    <xf numFmtId="0" fontId="37" fillId="0" borderId="13" xfId="0" applyFont="1" applyBorder="1" applyAlignment="1" applyProtection="1">
      <alignment horizontal="center" vertical="center" wrapText="1"/>
    </xf>
    <xf numFmtId="0" fontId="37" fillId="0" borderId="12" xfId="0" applyFont="1" applyBorder="1" applyAlignment="1" applyProtection="1">
      <alignment horizontal="center" vertical="center" wrapText="1"/>
    </xf>
    <xf numFmtId="0" fontId="37" fillId="0" borderId="11" xfId="0" applyFont="1" applyBorder="1" applyAlignment="1" applyProtection="1">
      <alignment horizontal="center" vertical="center" wrapText="1"/>
    </xf>
    <xf numFmtId="0" fontId="38" fillId="0" borderId="13" xfId="0" applyFont="1" applyBorder="1" applyAlignment="1" applyProtection="1">
      <alignment horizontal="center" vertical="center" wrapText="1"/>
    </xf>
    <xf numFmtId="0" fontId="38" fillId="0" borderId="12" xfId="0" applyFont="1" applyBorder="1" applyAlignment="1" applyProtection="1">
      <alignment horizontal="center" vertical="center" wrapText="1"/>
    </xf>
    <xf numFmtId="0" fontId="38" fillId="0" borderId="11" xfId="0" applyFont="1" applyBorder="1" applyAlignment="1" applyProtection="1">
      <alignment horizontal="center" vertical="center" wrapText="1"/>
    </xf>
    <xf numFmtId="0" fontId="32" fillId="19" borderId="10" xfId="0" applyFont="1" applyFill="1" applyBorder="1" applyAlignment="1" applyProtection="1">
      <alignment horizontal="center"/>
    </xf>
    <xf numFmtId="49" fontId="0" fillId="0" borderId="27" xfId="0" applyNumberFormat="1" applyBorder="1" applyAlignment="1" applyProtection="1">
      <alignment horizontal="center" vertical="center"/>
    </xf>
    <xf numFmtId="49" fontId="0" fillId="0" borderId="28" xfId="0" applyNumberFormat="1" applyBorder="1" applyAlignment="1" applyProtection="1">
      <alignment horizontal="center" vertical="center"/>
    </xf>
    <xf numFmtId="0" fontId="31" fillId="0" borderId="5" xfId="0" applyFont="1" applyBorder="1" applyAlignment="1" applyProtection="1">
      <alignment horizontal="center"/>
    </xf>
    <xf numFmtId="178" fontId="0" fillId="0" borderId="10" xfId="0" applyNumberFormat="1" applyBorder="1" applyAlignment="1" applyProtection="1">
      <alignment horizontal="distributed" vertical="center"/>
    </xf>
    <xf numFmtId="3" fontId="0" fillId="0" borderId="10" xfId="0" applyNumberFormat="1" applyFill="1" applyBorder="1" applyAlignment="1" applyProtection="1">
      <alignment horizontal="center" vertical="center"/>
    </xf>
    <xf numFmtId="179" fontId="35" fillId="0" borderId="10" xfId="1" applyNumberFormat="1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179" fontId="35" fillId="0" borderId="13" xfId="1" applyNumberFormat="1" applyFont="1" applyFill="1" applyBorder="1" applyAlignment="1" applyProtection="1">
      <alignment horizontal="center" vertical="center"/>
    </xf>
    <xf numFmtId="179" fontId="35" fillId="0" borderId="11" xfId="1" applyNumberFormat="1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2" fillId="20" borderId="10" xfId="0" applyFont="1" applyFill="1" applyBorder="1" applyAlignment="1" applyProtection="1">
      <alignment horizontal="right" vertical="center" wrapText="1"/>
    </xf>
    <xf numFmtId="49" fontId="0" fillId="0" borderId="1" xfId="0" applyNumberFormat="1" applyBorder="1" applyAlignment="1" applyProtection="1">
      <alignment horizontal="center"/>
    </xf>
    <xf numFmtId="49" fontId="0" fillId="0" borderId="2" xfId="0" applyNumberFormat="1" applyBorder="1" applyAlignment="1" applyProtection="1">
      <alignment horizontal="center"/>
    </xf>
    <xf numFmtId="49" fontId="0" fillId="0" borderId="3" xfId="0" applyNumberFormat="1" applyBorder="1" applyAlignment="1" applyProtection="1">
      <alignment horizontal="center"/>
    </xf>
    <xf numFmtId="0" fontId="3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distributed" vertical="center"/>
    </xf>
    <xf numFmtId="180" fontId="36" fillId="0" borderId="10" xfId="1" applyNumberFormat="1" applyFont="1" applyBorder="1" applyAlignment="1" applyProtection="1">
      <alignment vertical="center"/>
    </xf>
    <xf numFmtId="0" fontId="32" fillId="20" borderId="10" xfId="0" applyFont="1" applyFill="1" applyBorder="1" applyAlignment="1" applyProtection="1">
      <alignment horizontal="right"/>
    </xf>
    <xf numFmtId="0" fontId="0" fillId="0" borderId="10" xfId="0" applyBorder="1" applyAlignment="1" applyProtection="1">
      <alignment horizontal="center"/>
    </xf>
    <xf numFmtId="178" fontId="0" fillId="0" borderId="10" xfId="0" applyNumberFormat="1" applyFont="1" applyFill="1" applyBorder="1" applyAlignment="1" applyProtection="1">
      <alignment horizontal="distributed" vertical="center"/>
    </xf>
    <xf numFmtId="0" fontId="37" fillId="0" borderId="7" xfId="0" applyFont="1" applyBorder="1" applyAlignment="1" applyProtection="1">
      <alignment horizontal="center" vertical="center" wrapText="1"/>
    </xf>
    <xf numFmtId="0" fontId="37" fillId="0" borderId="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178" fontId="5" fillId="0" borderId="10" xfId="0" applyNumberFormat="1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10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40" fillId="20" borderId="10" xfId="0" applyFont="1" applyFill="1" applyBorder="1" applyAlignment="1" applyProtection="1">
      <alignment horizontal="right" vertical="center"/>
    </xf>
    <xf numFmtId="178" fontId="40" fillId="20" borderId="10" xfId="0" applyNumberFormat="1" applyFont="1" applyFill="1" applyBorder="1" applyAlignment="1" applyProtection="1">
      <alignment horizontal="center" vertical="center"/>
    </xf>
    <xf numFmtId="0" fontId="39" fillId="20" borderId="10" xfId="0" applyFont="1" applyFill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vertical="center" wrapText="1"/>
    </xf>
    <xf numFmtId="2" fontId="0" fillId="0" borderId="10" xfId="0" applyNumberFormat="1" applyBorder="1" applyAlignment="1" applyProtection="1">
      <alignment horizontal="center"/>
    </xf>
    <xf numFmtId="1" fontId="0" fillId="0" borderId="10" xfId="0" applyNumberFormat="1" applyBorder="1" applyAlignment="1" applyProtection="1">
      <alignment horizontal="center"/>
    </xf>
    <xf numFmtId="0" fontId="42" fillId="0" borderId="0" xfId="0" applyFont="1" applyAlignment="1" applyProtection="1">
      <alignment horizontal="center"/>
      <protection locked="0"/>
    </xf>
    <xf numFmtId="0" fontId="32" fillId="0" borderId="10" xfId="0" applyFont="1" applyBorder="1" applyAlignment="1" applyProtection="1">
      <alignment horizontal="center" wrapText="1"/>
    </xf>
    <xf numFmtId="0" fontId="32" fillId="0" borderId="10" xfId="0" applyFont="1" applyBorder="1" applyAlignment="1" applyProtection="1">
      <alignment horizontal="center"/>
    </xf>
    <xf numFmtId="178" fontId="40" fillId="20" borderId="10" xfId="0" applyNumberFormat="1" applyFont="1" applyFill="1" applyBorder="1" applyAlignment="1" applyProtection="1">
      <alignment horizontal="center"/>
    </xf>
    <xf numFmtId="1" fontId="0" fillId="20" borderId="10" xfId="0" applyNumberFormat="1" applyFill="1" applyBorder="1" applyAlignment="1" applyProtection="1">
      <alignment horizontal="center"/>
    </xf>
    <xf numFmtId="0" fontId="0" fillId="20" borderId="10" xfId="0" applyFill="1" applyBorder="1" applyAlignment="1" applyProtection="1">
      <alignment horizontal="center"/>
    </xf>
    <xf numFmtId="0" fontId="32" fillId="18" borderId="27" xfId="0" applyFont="1" applyFill="1" applyBorder="1" applyAlignment="1" applyProtection="1">
      <alignment horizontal="center"/>
    </xf>
    <xf numFmtId="0" fontId="32" fillId="18" borderId="0" xfId="0" applyFont="1" applyFill="1" applyBorder="1" applyAlignment="1" applyProtection="1">
      <alignment horizontal="center"/>
    </xf>
    <xf numFmtId="0" fontId="19" fillId="11" borderId="1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44" fontId="20" fillId="12" borderId="1" xfId="2" applyFont="1" applyFill="1" applyBorder="1" applyAlignment="1">
      <alignment horizontal="center" vertical="center" wrapText="1"/>
    </xf>
    <xf numFmtId="44" fontId="20" fillId="12" borderId="26" xfId="2" applyFont="1" applyFill="1" applyBorder="1" applyAlignment="1">
      <alignment horizontal="center" vertical="center" wrapText="1"/>
    </xf>
    <xf numFmtId="44" fontId="20" fillId="12" borderId="3" xfId="2" applyFont="1" applyFill="1" applyBorder="1" applyAlignment="1">
      <alignment horizontal="center" vertical="center" wrapText="1"/>
    </xf>
    <xf numFmtId="44" fontId="20" fillId="12" borderId="4" xfId="2" applyFont="1" applyFill="1" applyBorder="1" applyAlignment="1">
      <alignment horizontal="center" vertical="center" wrapText="1"/>
    </xf>
    <xf numFmtId="44" fontId="20" fillId="12" borderId="5" xfId="2" applyFont="1" applyFill="1" applyBorder="1" applyAlignment="1">
      <alignment horizontal="center" vertical="center" wrapText="1"/>
    </xf>
    <xf numFmtId="44" fontId="20" fillId="12" borderId="6" xfId="2" applyFont="1" applyFill="1" applyBorder="1" applyAlignment="1">
      <alignment horizontal="center" vertical="center" wrapText="1"/>
    </xf>
    <xf numFmtId="0" fontId="19" fillId="0" borderId="39" xfId="0" applyFont="1" applyFill="1" applyBorder="1" applyAlignment="1" applyProtection="1">
      <alignment horizontal="center" vertical="center"/>
    </xf>
    <xf numFmtId="0" fontId="19" fillId="0" borderId="37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28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20" fillId="7" borderId="7" xfId="0" applyFont="1" applyFill="1" applyBorder="1" applyAlignment="1" applyProtection="1">
      <alignment horizontal="left" vertical="center"/>
    </xf>
    <xf numFmtId="0" fontId="20" fillId="7" borderId="8" xfId="0" applyFont="1" applyFill="1" applyBorder="1" applyAlignment="1" applyProtection="1">
      <alignment horizontal="left" vertical="center"/>
    </xf>
    <xf numFmtId="0" fontId="20" fillId="7" borderId="9" xfId="0" applyFont="1" applyFill="1" applyBorder="1" applyAlignment="1" applyProtection="1">
      <alignment horizontal="left" vertical="center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left" vertical="center"/>
    </xf>
    <xf numFmtId="0" fontId="20" fillId="0" borderId="8" xfId="0" applyFont="1" applyFill="1" applyBorder="1" applyAlignment="1" applyProtection="1">
      <alignment horizontal="left" vertical="center"/>
    </xf>
    <xf numFmtId="0" fontId="20" fillId="7" borderId="10" xfId="0" applyFont="1" applyFill="1" applyBorder="1" applyAlignment="1" applyProtection="1">
      <alignment horizontal="left" vertical="center"/>
    </xf>
    <xf numFmtId="44" fontId="19" fillId="12" borderId="36" xfId="2" applyFont="1" applyFill="1" applyBorder="1" applyAlignment="1" applyProtection="1">
      <alignment horizontal="center" vertical="center"/>
    </xf>
    <xf numFmtId="44" fontId="19" fillId="12" borderId="37" xfId="2" applyFont="1" applyFill="1" applyBorder="1" applyAlignment="1" applyProtection="1">
      <alignment horizontal="center" vertical="center"/>
    </xf>
    <xf numFmtId="0" fontId="20" fillId="22" borderId="10" xfId="0" applyFont="1" applyFill="1" applyBorder="1" applyAlignment="1" applyProtection="1">
      <alignment vertical="center"/>
    </xf>
    <xf numFmtId="0" fontId="20" fillId="3" borderId="39" xfId="0" applyFont="1" applyFill="1" applyBorder="1" applyAlignment="1" applyProtection="1">
      <alignment horizontal="left" vertical="center"/>
    </xf>
    <xf numFmtId="0" fontId="20" fillId="3" borderId="37" xfId="0" applyFont="1" applyFill="1" applyBorder="1" applyAlignment="1" applyProtection="1">
      <alignment horizontal="left" vertical="center"/>
    </xf>
    <xf numFmtId="0" fontId="20" fillId="3" borderId="38" xfId="0" applyFont="1" applyFill="1" applyBorder="1" applyAlignment="1" applyProtection="1">
      <alignment horizontal="left" vertical="center"/>
    </xf>
    <xf numFmtId="0" fontId="19" fillId="9" borderId="10" xfId="0" applyFont="1" applyFill="1" applyBorder="1" applyAlignment="1" applyProtection="1">
      <alignment horizontal="center" vertical="center"/>
    </xf>
    <xf numFmtId="0" fontId="19" fillId="12" borderId="10" xfId="0" applyFont="1" applyFill="1" applyBorder="1" applyAlignment="1" applyProtection="1">
      <alignment horizontal="center" vertical="center"/>
    </xf>
    <xf numFmtId="0" fontId="20" fillId="7" borderId="7" xfId="0" applyFont="1" applyFill="1" applyBorder="1" applyAlignment="1" applyProtection="1">
      <alignment horizontal="left" vertical="center" wrapText="1"/>
    </xf>
    <xf numFmtId="0" fontId="20" fillId="7" borderId="8" xfId="0" applyFont="1" applyFill="1" applyBorder="1" applyAlignment="1" applyProtection="1">
      <alignment horizontal="left" vertical="center" wrapText="1"/>
    </xf>
    <xf numFmtId="0" fontId="20" fillId="7" borderId="9" xfId="0" applyFont="1" applyFill="1" applyBorder="1" applyAlignment="1" applyProtection="1">
      <alignment horizontal="left" vertical="center" wrapText="1"/>
    </xf>
    <xf numFmtId="10" fontId="20" fillId="2" borderId="7" xfId="0" applyNumberFormat="1" applyFont="1" applyFill="1" applyBorder="1" applyAlignment="1" applyProtection="1">
      <alignment horizontal="center" vertical="center"/>
      <protection locked="0"/>
    </xf>
    <xf numFmtId="10" fontId="20" fillId="2" borderId="9" xfId="0" applyNumberFormat="1" applyFont="1" applyFill="1" applyBorder="1" applyAlignment="1" applyProtection="1">
      <alignment horizontal="center" vertical="center"/>
      <protection locked="0"/>
    </xf>
    <xf numFmtId="0" fontId="20" fillId="2" borderId="39" xfId="0" applyFont="1" applyFill="1" applyBorder="1" applyAlignment="1" applyProtection="1">
      <alignment horizontal="left" vertical="center"/>
    </xf>
    <xf numFmtId="0" fontId="20" fillId="2" borderId="37" xfId="0" applyFont="1" applyFill="1" applyBorder="1" applyAlignment="1" applyProtection="1">
      <alignment horizontal="left" vertical="center"/>
    </xf>
    <xf numFmtId="0" fontId="20" fillId="2" borderId="38" xfId="0" applyFont="1" applyFill="1" applyBorder="1" applyAlignment="1" applyProtection="1">
      <alignment horizontal="left" vertical="center"/>
    </xf>
    <xf numFmtId="0" fontId="20" fillId="7" borderId="10" xfId="0" applyFont="1" applyFill="1" applyBorder="1" applyAlignment="1" applyProtection="1">
      <alignment vertical="center"/>
    </xf>
    <xf numFmtId="0" fontId="20" fillId="7" borderId="10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left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7" borderId="10" xfId="0" quotePrefix="1" applyFont="1" applyFill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left" vertical="center"/>
    </xf>
    <xf numFmtId="0" fontId="20" fillId="3" borderId="7" xfId="0" applyFont="1" applyFill="1" applyBorder="1" applyAlignment="1" applyProtection="1">
      <alignment horizontal="left" vertical="center"/>
    </xf>
    <xf numFmtId="0" fontId="20" fillId="3" borderId="9" xfId="0" applyFont="1" applyFill="1" applyBorder="1" applyAlignment="1" applyProtection="1">
      <alignment horizontal="left" vertical="center"/>
    </xf>
    <xf numFmtId="0" fontId="20" fillId="3" borderId="7" xfId="0" applyFont="1" applyFill="1" applyBorder="1" applyAlignment="1" applyProtection="1">
      <alignment horizontal="right" vertical="center"/>
    </xf>
    <xf numFmtId="0" fontId="20" fillId="3" borderId="8" xfId="0" applyFont="1" applyFill="1" applyBorder="1" applyAlignment="1" applyProtection="1">
      <alignment horizontal="right" vertical="center"/>
    </xf>
    <xf numFmtId="0" fontId="20" fillId="3" borderId="9" xfId="0" applyFont="1" applyFill="1" applyBorder="1" applyAlignment="1" applyProtection="1">
      <alignment horizontal="right" vertical="center"/>
    </xf>
    <xf numFmtId="10" fontId="20" fillId="2" borderId="7" xfId="0" applyNumberFormat="1" applyFont="1" applyFill="1" applyBorder="1" applyAlignment="1" applyProtection="1">
      <alignment horizontal="center" vertical="center"/>
    </xf>
    <xf numFmtId="10" fontId="20" fillId="2" borderId="9" xfId="0" applyNumberFormat="1" applyFont="1" applyFill="1" applyBorder="1" applyAlignment="1" applyProtection="1">
      <alignment horizontal="center" vertical="center"/>
    </xf>
    <xf numFmtId="167" fontId="20" fillId="9" borderId="0" xfId="0" applyNumberFormat="1" applyFont="1" applyFill="1" applyBorder="1" applyAlignment="1" applyProtection="1">
      <alignment horizontal="center" vertical="center"/>
    </xf>
    <xf numFmtId="0" fontId="20" fillId="9" borderId="0" xfId="0" applyFont="1" applyFill="1" applyBorder="1" applyAlignment="1" applyProtection="1">
      <alignment horizontal="center" vertical="center"/>
    </xf>
    <xf numFmtId="0" fontId="20" fillId="12" borderId="10" xfId="0" applyFont="1" applyFill="1" applyBorder="1" applyAlignment="1" applyProtection="1">
      <alignment horizontal="center" vertical="center"/>
    </xf>
    <xf numFmtId="0" fontId="19" fillId="7" borderId="7" xfId="0" applyFont="1" applyFill="1" applyBorder="1" applyAlignment="1" applyProtection="1">
      <alignment horizontal="center" vertical="center"/>
    </xf>
    <xf numFmtId="0" fontId="19" fillId="7" borderId="8" xfId="0" applyFont="1" applyFill="1" applyBorder="1" applyAlignment="1" applyProtection="1">
      <alignment horizontal="center" vertical="center"/>
    </xf>
    <xf numFmtId="0" fontId="19" fillId="7" borderId="9" xfId="0" applyFont="1" applyFill="1" applyBorder="1" applyAlignment="1" applyProtection="1">
      <alignment horizontal="center" vertical="center"/>
    </xf>
    <xf numFmtId="44" fontId="19" fillId="0" borderId="7" xfId="2" applyFont="1" applyBorder="1" applyAlignment="1" applyProtection="1">
      <alignment horizontal="center" vertical="center"/>
    </xf>
    <xf numFmtId="44" fontId="19" fillId="0" borderId="9" xfId="2" applyFont="1" applyBorder="1" applyAlignment="1" applyProtection="1">
      <alignment horizontal="center" vertical="center"/>
    </xf>
    <xf numFmtId="165" fontId="20" fillId="7" borderId="7" xfId="0" applyNumberFormat="1" applyFont="1" applyFill="1" applyBorder="1" applyAlignment="1" applyProtection="1">
      <alignment horizontal="center" vertical="center" wrapText="1"/>
    </xf>
    <xf numFmtId="165" fontId="20" fillId="7" borderId="9" xfId="0" applyNumberFormat="1" applyFont="1" applyFill="1" applyBorder="1" applyAlignment="1" applyProtection="1">
      <alignment horizontal="center" vertical="center" wrapText="1"/>
    </xf>
    <xf numFmtId="0" fontId="25" fillId="4" borderId="10" xfId="0" applyFont="1" applyFill="1" applyBorder="1" applyAlignment="1" applyProtection="1">
      <alignment horizontal="center" vertical="center"/>
    </xf>
    <xf numFmtId="0" fontId="20" fillId="12" borderId="10" xfId="0" applyFont="1" applyFill="1" applyBorder="1" applyAlignment="1" applyProtection="1">
      <alignment horizontal="left" vertical="center"/>
    </xf>
    <xf numFmtId="10" fontId="20" fillId="9" borderId="10" xfId="0" applyNumberFormat="1" applyFont="1" applyFill="1" applyBorder="1" applyAlignment="1" applyProtection="1">
      <alignment horizontal="center" vertical="center"/>
    </xf>
    <xf numFmtId="44" fontId="20" fillId="0" borderId="7" xfId="2" applyFont="1" applyBorder="1" applyAlignment="1">
      <alignment horizontal="center" vertical="center"/>
    </xf>
    <xf numFmtId="44" fontId="20" fillId="0" borderId="8" xfId="2" applyFont="1" applyBorder="1" applyAlignment="1">
      <alignment horizontal="center" vertical="center"/>
    </xf>
    <xf numFmtId="44" fontId="20" fillId="0" borderId="13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5" fillId="5" borderId="10" xfId="0" applyFont="1" applyFill="1" applyBorder="1" applyAlignment="1">
      <alignment horizontal="center"/>
    </xf>
    <xf numFmtId="0" fontId="25" fillId="5" borderId="13" xfId="0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0" fillId="0" borderId="17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26" fillId="13" borderId="10" xfId="0" applyFont="1" applyFill="1" applyBorder="1" applyAlignment="1" applyProtection="1">
      <alignment horizontal="left" vertical="center" wrapText="1"/>
    </xf>
    <xf numFmtId="0" fontId="19" fillId="0" borderId="7" xfId="0" applyFont="1" applyBorder="1" applyAlignment="1">
      <alignment horizontal="center"/>
    </xf>
    <xf numFmtId="0" fontId="56" fillId="25" borderId="42" xfId="9" applyFont="1" applyFill="1" applyBorder="1" applyAlignment="1">
      <alignment horizontal="center" vertical="center" wrapText="1"/>
    </xf>
    <xf numFmtId="0" fontId="56" fillId="25" borderId="43" xfId="9" applyFont="1" applyFill="1" applyBorder="1" applyAlignment="1">
      <alignment horizontal="center" vertical="center" wrapText="1"/>
    </xf>
    <xf numFmtId="0" fontId="56" fillId="25" borderId="44" xfId="9" applyFont="1" applyFill="1" applyBorder="1" applyAlignment="1">
      <alignment horizontal="center" vertical="center" wrapText="1"/>
    </xf>
    <xf numFmtId="0" fontId="19" fillId="0" borderId="45" xfId="9" applyFont="1" applyFill="1" applyBorder="1" applyAlignment="1">
      <alignment horizontal="left" vertical="center"/>
    </xf>
    <xf numFmtId="0" fontId="19" fillId="0" borderId="0" xfId="9" applyFont="1" applyFill="1" applyBorder="1" applyAlignment="1">
      <alignment horizontal="left" vertical="center"/>
    </xf>
    <xf numFmtId="0" fontId="56" fillId="25" borderId="42" xfId="9" applyFont="1" applyFill="1" applyBorder="1" applyAlignment="1">
      <alignment horizontal="center" vertical="center"/>
    </xf>
    <xf numFmtId="0" fontId="56" fillId="25" borderId="44" xfId="9" applyFont="1" applyFill="1" applyBorder="1" applyAlignment="1">
      <alignment horizontal="center" vertical="center"/>
    </xf>
    <xf numFmtId="4" fontId="19" fillId="25" borderId="42" xfId="9" applyNumberFormat="1" applyFont="1" applyFill="1" applyBorder="1" applyAlignment="1">
      <alignment horizontal="right" vertical="center"/>
    </xf>
    <xf numFmtId="4" fontId="19" fillId="25" borderId="44" xfId="9" applyNumberFormat="1" applyFont="1" applyFill="1" applyBorder="1" applyAlignment="1">
      <alignment horizontal="right" vertical="center"/>
    </xf>
    <xf numFmtId="183" fontId="19" fillId="25" borderId="42" xfId="10" applyFont="1" applyFill="1" applyBorder="1" applyAlignment="1" applyProtection="1">
      <alignment horizontal="center" vertical="center"/>
    </xf>
    <xf numFmtId="183" fontId="19" fillId="25" borderId="43" xfId="10" applyFont="1" applyFill="1" applyBorder="1" applyAlignment="1" applyProtection="1">
      <alignment horizontal="center" vertical="center"/>
    </xf>
    <xf numFmtId="0" fontId="19" fillId="25" borderId="41" xfId="9" applyFont="1" applyFill="1" applyBorder="1" applyAlignment="1">
      <alignment horizontal="right" vertical="center"/>
    </xf>
    <xf numFmtId="0" fontId="29" fillId="25" borderId="42" xfId="9" applyFont="1" applyFill="1" applyBorder="1" applyAlignment="1">
      <alignment horizontal="right" vertical="center"/>
    </xf>
    <xf numFmtId="0" fontId="29" fillId="25" borderId="43" xfId="9" applyFont="1" applyFill="1" applyBorder="1" applyAlignment="1">
      <alignment horizontal="right" vertical="center"/>
    </xf>
    <xf numFmtId="0" fontId="29" fillId="25" borderId="44" xfId="9" applyFont="1" applyFill="1" applyBorder="1" applyAlignment="1">
      <alignment horizontal="right" vertical="center"/>
    </xf>
    <xf numFmtId="0" fontId="19" fillId="25" borderId="42" xfId="9" applyFont="1" applyFill="1" applyBorder="1" applyAlignment="1">
      <alignment horizontal="right" vertical="center"/>
    </xf>
    <xf numFmtId="0" fontId="19" fillId="25" borderId="43" xfId="9" applyFont="1" applyFill="1" applyBorder="1" applyAlignment="1">
      <alignment horizontal="right" vertical="center"/>
    </xf>
    <xf numFmtId="0" fontId="19" fillId="25" borderId="44" xfId="9" applyFont="1" applyFill="1" applyBorder="1" applyAlignment="1">
      <alignment horizontal="right" vertical="center"/>
    </xf>
    <xf numFmtId="4" fontId="19" fillId="0" borderId="42" xfId="9" applyNumberFormat="1" applyFont="1" applyFill="1" applyBorder="1" applyAlignment="1">
      <alignment horizontal="center" vertical="center"/>
    </xf>
    <xf numFmtId="4" fontId="19" fillId="0" borderId="43" xfId="9" applyNumberFormat="1" applyFont="1" applyFill="1" applyBorder="1" applyAlignment="1">
      <alignment horizontal="center" vertical="center"/>
    </xf>
    <xf numFmtId="4" fontId="19" fillId="0" borderId="44" xfId="9" applyNumberFormat="1" applyFont="1" applyFill="1" applyBorder="1" applyAlignment="1">
      <alignment horizontal="center" vertical="center"/>
    </xf>
    <xf numFmtId="183" fontId="28" fillId="0" borderId="42" xfId="10" applyFont="1" applyFill="1" applyBorder="1" applyAlignment="1" applyProtection="1">
      <alignment horizontal="center" vertical="center"/>
    </xf>
    <xf numFmtId="183" fontId="28" fillId="0" borderId="43" xfId="10" applyFont="1" applyFill="1" applyBorder="1" applyAlignment="1" applyProtection="1">
      <alignment horizontal="center" vertical="center"/>
    </xf>
  </cellXfs>
  <cellStyles count="12">
    <cellStyle name="Hiperlink" xfId="8" builtinId="8"/>
    <cellStyle name="Moeda" xfId="2" builtinId="4"/>
    <cellStyle name="Normal" xfId="0" builtinId="0"/>
    <cellStyle name="Normal 2" xfId="6"/>
    <cellStyle name="Normal 2 2" xfId="7"/>
    <cellStyle name="Normal 2 3" xfId="5"/>
    <cellStyle name="Normal 3" xfId="9"/>
    <cellStyle name="Normal_Planilha teste - motorista e ajudante 2009" xfId="4"/>
    <cellStyle name="Porcentagem" xfId="3" builtinId="5"/>
    <cellStyle name="Título 5" xfId="11"/>
    <cellStyle name="Vírgula" xfId="1" builtinId="3"/>
    <cellStyle name="Vírgula 2" xfId="10"/>
  </cellStyles>
  <dxfs count="4"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E1E1FF"/>
      <color rgb="FFCCCCFF"/>
      <color rgb="FFFFFFCC"/>
      <color rgb="FFFFCCCC"/>
      <color rgb="FFCCECFF"/>
      <color rgb="FFFFFF66"/>
      <color rgb="FF66CCFF"/>
      <color rgb="FFFFCCFF"/>
      <color rgb="FF996633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241\Licita&#231;&#227;o\LICITA&#199;&#213;ES%20-%20PLANILHAS\LICITACAO\LICITA&#199;&#213;ES%202018\ABRIL\FAS-01-2018%20-%20CTB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241\Users\Leila%20Hessmann\Desktop\PROPOSTAS%202014\LICITACAO\modelo%20m&#17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. Auxiliar"/>
      <sheetName val="&quot;03&quot; Laborat."/>
      <sheetName val="&quot;04&quot; Almoxarifados"/>
      <sheetName val="&quot;05&quot; Oficinas"/>
      <sheetName val="&quot;06&quot; Esp.Livres"/>
      <sheetName val="&quot;08&quot; P. Adj e Cont."/>
      <sheetName val="&quot;09&quot; Varrição"/>
      <sheetName val="&quot;10&quot; Pat. e Áreas Verdes"/>
      <sheetName val="&quot;14&quot; Fachada Envidraçada"/>
      <sheetName val="SERVENTE-RISCO-12X36-DIA"/>
      <sheetName val="SERVENTE-12X36-DIA"/>
      <sheetName val="SERVENTE-40HRS-RISCO"/>
      <sheetName val="SERVENTE-40HRS"/>
      <sheetName val="ENCARR.40 HRS-RISCO"/>
      <sheetName val="ENCARR.40 HRS"/>
      <sheetName val="ENCARR-RISCO-12X36-DIA"/>
      <sheetName val="ENCARR-12X36-DIA"/>
      <sheetName val="RESUMO"/>
      <sheetName val="RESUMO M²"/>
      <sheetName val="M²"/>
      <sheetName val="RESUMO8 HRS"/>
      <sheetName val="RESUM-12 HRS"/>
      <sheetName val="MAT E EQU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C6">
            <v>3494.93</v>
          </cell>
        </row>
        <row r="7">
          <cell r="C7">
            <v>3551.21</v>
          </cell>
        </row>
        <row r="8">
          <cell r="C8">
            <v>7816.46</v>
          </cell>
        </row>
        <row r="9">
          <cell r="C9">
            <v>7954.16</v>
          </cell>
        </row>
        <row r="10">
          <cell r="C10">
            <v>4232.68</v>
          </cell>
        </row>
        <row r="11">
          <cell r="C11">
            <v>4921.16</v>
          </cell>
        </row>
        <row r="12">
          <cell r="C12">
            <v>9704.58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ente"/>
      <sheetName val="Proposta"/>
      <sheetName val="Produtividade"/>
      <sheetName val="Complemento Produtividade"/>
      <sheetName val="Material Uniforme Equipamentos"/>
      <sheetName val="SIMPLES 2012"/>
      <sheetName val="Versão_1C"/>
      <sheetName val="Plan1"/>
    </sheetNames>
    <sheetDataSet>
      <sheetData sheetId="0" refreshError="1">
        <row r="13">
          <cell r="F13">
            <v>12</v>
          </cell>
        </row>
        <row r="16">
          <cell r="E16">
            <v>0</v>
          </cell>
        </row>
        <row r="17">
          <cell r="E17">
            <v>1750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920</v>
          </cell>
        </row>
        <row r="30">
          <cell r="E30">
            <v>220</v>
          </cell>
        </row>
        <row r="31">
          <cell r="E31">
            <v>140</v>
          </cell>
        </row>
        <row r="32">
          <cell r="E32">
            <v>360</v>
          </cell>
        </row>
        <row r="34">
          <cell r="E34">
            <v>0</v>
          </cell>
        </row>
        <row r="36">
          <cell r="E36">
            <v>0</v>
          </cell>
        </row>
        <row r="194">
          <cell r="F194" t="e">
            <v>#VALUE!</v>
          </cell>
        </row>
      </sheetData>
      <sheetData sheetId="1" refreshError="1"/>
      <sheetData sheetId="2" refreshError="1">
        <row r="3">
          <cell r="E3">
            <v>600</v>
          </cell>
        </row>
        <row r="4">
          <cell r="E4">
            <v>600</v>
          </cell>
        </row>
        <row r="5">
          <cell r="E5">
            <v>330</v>
          </cell>
        </row>
        <row r="6">
          <cell r="E6">
            <v>1350</v>
          </cell>
        </row>
        <row r="7">
          <cell r="E7">
            <v>1200</v>
          </cell>
        </row>
        <row r="8">
          <cell r="E8">
            <v>800</v>
          </cell>
        </row>
        <row r="9">
          <cell r="E9">
            <v>1200</v>
          </cell>
        </row>
        <row r="10">
          <cell r="E10">
            <v>6000</v>
          </cell>
        </row>
        <row r="11">
          <cell r="E11">
            <v>1200</v>
          </cell>
        </row>
        <row r="12">
          <cell r="E12">
            <v>1200</v>
          </cell>
        </row>
        <row r="13">
          <cell r="E13">
            <v>1200</v>
          </cell>
        </row>
        <row r="14">
          <cell r="E14">
            <v>100000</v>
          </cell>
        </row>
        <row r="15">
          <cell r="E15">
            <v>110</v>
          </cell>
        </row>
        <row r="16">
          <cell r="E16">
            <v>220</v>
          </cell>
        </row>
        <row r="17">
          <cell r="E17">
            <v>220</v>
          </cell>
        </row>
        <row r="18">
          <cell r="E18">
            <v>110</v>
          </cell>
        </row>
        <row r="19">
          <cell r="E19">
            <v>330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iariodotransporte.com.br/2019/03/30/cascavel-reajusta-tarifa-do-transporte-publico-para-r-390/" TargetMode="External"/><Relationship Id="rId2" Type="http://schemas.openxmlformats.org/officeDocument/2006/relationships/hyperlink" Target="https://g1.globo.com/pr/oeste-sudoeste/noticia/2019/04/03/passagem-de-onibus-aumenta-para-r-390-em-cascavel-a-partir-desta-quinta-feira-4.ghtml" TargetMode="External"/><Relationship Id="rId1" Type="http://schemas.openxmlformats.org/officeDocument/2006/relationships/hyperlink" Target="https://leismunicipais.com.br/codigo-tributario-cascavel-pr" TargetMode="External"/><Relationship Id="rId6" Type="http://schemas.openxmlformats.org/officeDocument/2006/relationships/comments" Target="../comments9.xml"/><Relationship Id="rId5" Type="http://schemas.openxmlformats.org/officeDocument/2006/relationships/vmlDrawing" Target="../drawings/vmlDrawing9.vml"/><Relationship Id="rId4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diariodotransporte.com.br/2019/03/30/cascavel-reajusta-tarifa-do-transporte-publico-para-r-390/" TargetMode="External"/><Relationship Id="rId2" Type="http://schemas.openxmlformats.org/officeDocument/2006/relationships/hyperlink" Target="https://g1.globo.com/pr/oeste-sudoeste/noticia/2019/04/03/passagem-de-onibus-aumenta-para-r-390-em-cascavel-a-partir-desta-quinta-feira-4.ghtml" TargetMode="External"/><Relationship Id="rId1" Type="http://schemas.openxmlformats.org/officeDocument/2006/relationships/hyperlink" Target="https://leismunicipais.com.br/codigo-tributario-cascavel-pr" TargetMode="External"/><Relationship Id="rId6" Type="http://schemas.openxmlformats.org/officeDocument/2006/relationships/comments" Target="../comments10.xml"/><Relationship Id="rId5" Type="http://schemas.openxmlformats.org/officeDocument/2006/relationships/vmlDrawing" Target="../drawings/vmlDrawing10.vml"/><Relationship Id="rId4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98"/>
  <sheetViews>
    <sheetView topLeftCell="B1" zoomScale="89" zoomScaleNormal="89" workbookViewId="0">
      <selection activeCell="K36" sqref="K36"/>
    </sheetView>
  </sheetViews>
  <sheetFormatPr defaultColWidth="9.140625" defaultRowHeight="12.75"/>
  <cols>
    <col min="1" max="1" width="0" style="77" hidden="1" customWidth="1"/>
    <col min="2" max="2" width="22" style="77" bestFit="1" customWidth="1"/>
    <col min="3" max="3" width="2.85546875" style="77" customWidth="1"/>
    <col min="4" max="4" width="10.85546875" style="77" bestFit="1" customWidth="1"/>
    <col min="5" max="5" width="9.140625" style="77" bestFit="1" customWidth="1"/>
    <col min="6" max="6" width="10.85546875" style="77" bestFit="1" customWidth="1"/>
    <col min="7" max="7" width="12.140625" style="77" bestFit="1" customWidth="1"/>
    <col min="8" max="8" width="12.7109375" style="77" bestFit="1" customWidth="1"/>
    <col min="9" max="9" width="9.140625" style="77" bestFit="1" customWidth="1"/>
    <col min="10" max="10" width="10.85546875" style="77" bestFit="1" customWidth="1"/>
    <col min="11" max="11" width="11.28515625" style="77" bestFit="1" customWidth="1"/>
    <col min="12" max="12" width="6" style="77" bestFit="1" customWidth="1"/>
    <col min="13" max="13" width="8.85546875" style="77" bestFit="1" customWidth="1"/>
    <col min="14" max="15" width="10.85546875" style="77" bestFit="1" customWidth="1"/>
    <col min="16" max="16" width="9" style="77" bestFit="1" customWidth="1"/>
    <col min="17" max="17" width="8.7109375" style="77" bestFit="1" customWidth="1"/>
    <col min="18" max="18" width="6.85546875" style="77" bestFit="1" customWidth="1"/>
    <col min="19" max="19" width="8.28515625" style="77" bestFit="1" customWidth="1"/>
    <col min="20" max="20" width="6.85546875" style="77" bestFit="1" customWidth="1"/>
    <col min="21" max="21" width="8.42578125" style="77" bestFit="1" customWidth="1"/>
    <col min="22" max="22" width="6.85546875" style="77" bestFit="1" customWidth="1"/>
    <col min="23" max="23" width="8.5703125" style="77" bestFit="1" customWidth="1"/>
    <col min="24" max="24" width="8.42578125" style="77" bestFit="1" customWidth="1"/>
    <col min="25" max="25" width="7.42578125" style="77" bestFit="1" customWidth="1"/>
    <col min="26" max="26" width="7.7109375" style="77" bestFit="1" customWidth="1"/>
    <col min="27" max="27" width="7" style="77" bestFit="1" customWidth="1"/>
    <col min="28" max="28" width="6.28515625" style="77" bestFit="1" customWidth="1"/>
    <col min="29" max="30" width="7.5703125" style="77" bestFit="1" customWidth="1"/>
    <col min="31" max="31" width="8.85546875" style="77" bestFit="1" customWidth="1"/>
    <col min="32" max="32" width="8.42578125" style="77" bestFit="1" customWidth="1"/>
    <col min="33" max="33" width="7.28515625" style="77" bestFit="1" customWidth="1"/>
    <col min="34" max="34" width="7.7109375" style="77" bestFit="1" customWidth="1"/>
    <col min="35" max="35" width="6.85546875" style="77" bestFit="1" customWidth="1"/>
    <col min="36" max="16384" width="9.140625" style="77"/>
  </cols>
  <sheetData>
    <row r="2" spans="1:35" ht="38.25">
      <c r="A2" s="78" t="s">
        <v>58</v>
      </c>
      <c r="B2" s="78" t="s">
        <v>58</v>
      </c>
      <c r="D2" s="72" t="str">
        <f>B3</f>
        <v>Aparecida</v>
      </c>
      <c r="E2" s="72" t="str">
        <f>B4</f>
        <v>Araçatuba</v>
      </c>
      <c r="F2" s="72" t="str">
        <f>B5</f>
        <v>Arujá</v>
      </c>
      <c r="G2" s="72" t="str">
        <f>B6</f>
        <v>Atibaia</v>
      </c>
      <c r="H2" s="72" t="str">
        <f>B7</f>
        <v>Barra_do_Turvo</v>
      </c>
      <c r="I2" s="72" t="str">
        <f>B8</f>
        <v>Bauru</v>
      </c>
      <c r="J2" s="72" t="str">
        <f>B9</f>
        <v>Caçapava</v>
      </c>
      <c r="K2" s="72" t="str">
        <f>B10</f>
        <v>Cachoeira_Paulista</v>
      </c>
      <c r="L2" s="72" t="str">
        <f>B11</f>
        <v>Cajati</v>
      </c>
      <c r="M2" s="72" t="str">
        <f>B12</f>
        <v>Campinas</v>
      </c>
      <c r="N2" s="72" t="str">
        <f>B13</f>
        <v>Guaiçara</v>
      </c>
      <c r="O2" s="72" t="str">
        <f>B14</f>
        <v>Guarulhos</v>
      </c>
      <c r="P2" s="72" t="str">
        <f>B15</f>
        <v>Itapecerica_da_Serra</v>
      </c>
      <c r="Q2" s="72" t="str">
        <f>B16</f>
        <v>Lavrinhas</v>
      </c>
      <c r="R2" s="72" t="str">
        <f>B17</f>
        <v>Marília</v>
      </c>
      <c r="S2" s="72" t="str">
        <f>B18</f>
        <v>Miracatu</v>
      </c>
      <c r="T2" s="72" t="str">
        <f>B19</f>
        <v>Osasco</v>
      </c>
      <c r="U2" s="72" t="str">
        <f>B20</f>
        <v>Ourinhos</v>
      </c>
      <c r="V2" s="72" t="str">
        <f>B21</f>
        <v>Piquete</v>
      </c>
      <c r="W2" s="72" t="str">
        <f>B22</f>
        <v>Piracicaba</v>
      </c>
      <c r="X2" s="72" t="str">
        <f>B23</f>
        <v>Presidente_Prudente</v>
      </c>
      <c r="Y2" s="72" t="str">
        <f>B24</f>
        <v>Registro</v>
      </c>
      <c r="Z2" s="72" t="str">
        <f>B25</f>
        <v>Ribeirão_Preto</v>
      </c>
      <c r="AA2" s="72" t="str">
        <f>B26</f>
        <v>Roseira</v>
      </c>
      <c r="AB2" s="72" t="str">
        <f>B27</f>
        <v>Santos</v>
      </c>
      <c r="AC2" s="72" t="str">
        <f>B28</f>
        <v>São_José_do_Rio_Preto</v>
      </c>
      <c r="AD2" s="72" t="str">
        <f>B29</f>
        <v>São_José_dos_Campos</v>
      </c>
      <c r="AE2" s="72" t="str">
        <f>B30</f>
        <v>São_Paulo</v>
      </c>
      <c r="AF2" s="72" t="str">
        <f>B31</f>
        <v>Sorocaba</v>
      </c>
      <c r="AG2" s="72" t="str">
        <f>B32</f>
        <v>Taubaté</v>
      </c>
      <c r="AH2" s="72" t="str">
        <f>B33</f>
        <v>Ubatuba</v>
      </c>
      <c r="AI2" s="72" t="str">
        <f>B34</f>
        <v>Vargem</v>
      </c>
    </row>
    <row r="3" spans="1:35" ht="76.5">
      <c r="A3" s="72" t="s">
        <v>59</v>
      </c>
      <c r="B3" s="72" t="s">
        <v>59</v>
      </c>
      <c r="D3" s="77" t="s">
        <v>90</v>
      </c>
      <c r="E3" s="77" t="s">
        <v>91</v>
      </c>
      <c r="F3" s="77" t="s">
        <v>97</v>
      </c>
      <c r="G3" s="77" t="s">
        <v>92</v>
      </c>
      <c r="H3" s="77" t="s">
        <v>94</v>
      </c>
      <c r="I3" s="77" t="s">
        <v>95</v>
      </c>
      <c r="J3" s="77" t="s">
        <v>96</v>
      </c>
      <c r="K3" s="76" t="s">
        <v>98</v>
      </c>
      <c r="L3" s="77" t="s">
        <v>100</v>
      </c>
      <c r="M3" s="77" t="s">
        <v>101</v>
      </c>
      <c r="N3" s="77" t="s">
        <v>103</v>
      </c>
      <c r="O3" s="77" t="s">
        <v>104</v>
      </c>
      <c r="P3" s="77" t="s">
        <v>108</v>
      </c>
      <c r="Q3" s="77" t="s">
        <v>110</v>
      </c>
      <c r="R3" s="77" t="s">
        <v>111</v>
      </c>
      <c r="S3" s="77" t="s">
        <v>113</v>
      </c>
      <c r="T3" s="77" t="s">
        <v>115</v>
      </c>
      <c r="U3" s="77" t="s">
        <v>116</v>
      </c>
      <c r="V3" s="77" t="s">
        <v>117</v>
      </c>
      <c r="W3" s="77" t="s">
        <v>118</v>
      </c>
      <c r="X3" s="77" t="s">
        <v>119</v>
      </c>
      <c r="Y3" s="77" t="s">
        <v>121</v>
      </c>
      <c r="Z3" s="77" t="s">
        <v>123</v>
      </c>
      <c r="AA3" s="77" t="s">
        <v>125</v>
      </c>
      <c r="AB3" s="77" t="s">
        <v>126</v>
      </c>
      <c r="AC3" s="77" t="s">
        <v>128</v>
      </c>
      <c r="AD3" s="77" t="s">
        <v>131</v>
      </c>
      <c r="AE3" s="77" t="s">
        <v>133</v>
      </c>
      <c r="AF3" s="77" t="s">
        <v>136</v>
      </c>
      <c r="AG3" s="77" t="s">
        <v>137</v>
      </c>
      <c r="AH3" s="77" t="s">
        <v>139</v>
      </c>
      <c r="AI3" s="77" t="s">
        <v>143</v>
      </c>
    </row>
    <row r="4" spans="1:35" ht="51">
      <c r="A4" s="72" t="s">
        <v>60</v>
      </c>
      <c r="B4" s="72" t="s">
        <v>60</v>
      </c>
      <c r="G4" s="77" t="s">
        <v>93</v>
      </c>
      <c r="K4" s="75" t="s">
        <v>99</v>
      </c>
      <c r="M4" s="77" t="s">
        <v>102</v>
      </c>
      <c r="O4" s="77" t="s">
        <v>105</v>
      </c>
      <c r="P4" s="77" t="s">
        <v>109</v>
      </c>
      <c r="R4" s="77" t="s">
        <v>112</v>
      </c>
      <c r="S4" s="77" t="s">
        <v>114</v>
      </c>
      <c r="X4" s="77" t="s">
        <v>120</v>
      </c>
      <c r="Y4" s="77" t="s">
        <v>122</v>
      </c>
      <c r="Z4" s="77" t="s">
        <v>124</v>
      </c>
      <c r="AB4" s="77" t="s">
        <v>127</v>
      </c>
      <c r="AC4" s="77" t="s">
        <v>129</v>
      </c>
      <c r="AD4" s="77" t="s">
        <v>132</v>
      </c>
      <c r="AE4" s="77" t="s">
        <v>57</v>
      </c>
      <c r="AG4" s="77" t="s">
        <v>138</v>
      </c>
      <c r="AH4" s="77" t="s">
        <v>140</v>
      </c>
    </row>
    <row r="5" spans="1:35" ht="51">
      <c r="A5" s="72" t="s">
        <v>61</v>
      </c>
      <c r="B5" s="72" t="s">
        <v>61</v>
      </c>
      <c r="O5" s="77" t="s">
        <v>106</v>
      </c>
      <c r="AC5" s="77" t="s">
        <v>130</v>
      </c>
      <c r="AE5" s="77" t="s">
        <v>134</v>
      </c>
      <c r="AH5" s="77" t="s">
        <v>141</v>
      </c>
    </row>
    <row r="6" spans="1:35" ht="38.25">
      <c r="A6" s="72" t="s">
        <v>62</v>
      </c>
      <c r="B6" s="72" t="s">
        <v>62</v>
      </c>
      <c r="O6" s="77" t="s">
        <v>107</v>
      </c>
      <c r="AE6" s="77" t="s">
        <v>135</v>
      </c>
      <c r="AH6" s="77" t="s">
        <v>142</v>
      </c>
    </row>
    <row r="7" spans="1:35" ht="25.5">
      <c r="A7" s="72" t="s">
        <v>63</v>
      </c>
      <c r="B7" s="72" t="s">
        <v>144</v>
      </c>
      <c r="AE7"/>
      <c r="AH7"/>
    </row>
    <row r="8" spans="1:35" ht="15">
      <c r="A8" s="72" t="s">
        <v>64</v>
      </c>
      <c r="B8" s="72" t="s">
        <v>64</v>
      </c>
      <c r="AE8"/>
      <c r="AH8"/>
    </row>
    <row r="9" spans="1:35" ht="15">
      <c r="A9" s="72" t="s">
        <v>65</v>
      </c>
      <c r="B9" s="72" t="s">
        <v>65</v>
      </c>
      <c r="AE9"/>
      <c r="AH9"/>
    </row>
    <row r="10" spans="1:35" ht="25.5">
      <c r="A10" s="72" t="s">
        <v>66</v>
      </c>
      <c r="B10" s="72" t="s">
        <v>145</v>
      </c>
      <c r="AE10"/>
      <c r="AH10"/>
    </row>
    <row r="11" spans="1:35" ht="15">
      <c r="A11" s="72" t="s">
        <v>67</v>
      </c>
      <c r="B11" s="72" t="s">
        <v>67</v>
      </c>
      <c r="AE11"/>
      <c r="AH11"/>
    </row>
    <row r="12" spans="1:35" ht="15">
      <c r="A12" s="72" t="s">
        <v>68</v>
      </c>
      <c r="B12" s="72" t="s">
        <v>68</v>
      </c>
      <c r="AE12"/>
      <c r="AH12"/>
    </row>
    <row r="13" spans="1:35" ht="15">
      <c r="A13" s="72" t="s">
        <v>69</v>
      </c>
      <c r="B13" s="72" t="s">
        <v>69</v>
      </c>
      <c r="AE13"/>
      <c r="AH13"/>
    </row>
    <row r="14" spans="1:35" ht="25.5">
      <c r="A14" s="72" t="s">
        <v>70</v>
      </c>
      <c r="B14" s="72" t="s">
        <v>70</v>
      </c>
      <c r="AE14"/>
      <c r="AH14"/>
    </row>
    <row r="15" spans="1:35" ht="25.5">
      <c r="A15" s="72" t="s">
        <v>71</v>
      </c>
      <c r="B15" s="72" t="s">
        <v>146</v>
      </c>
      <c r="AE15"/>
      <c r="AH15"/>
    </row>
    <row r="16" spans="1:35" ht="15">
      <c r="A16" s="72" t="s">
        <v>72</v>
      </c>
      <c r="B16" s="72" t="s">
        <v>72</v>
      </c>
      <c r="AE16"/>
      <c r="AH16"/>
    </row>
    <row r="17" spans="1:34" ht="15">
      <c r="A17" s="72" t="s">
        <v>73</v>
      </c>
      <c r="B17" s="72" t="s">
        <v>73</v>
      </c>
      <c r="AE17"/>
      <c r="AH17"/>
    </row>
    <row r="18" spans="1:34" ht="15">
      <c r="A18" s="72" t="s">
        <v>74</v>
      </c>
      <c r="B18" s="72" t="s">
        <v>74</v>
      </c>
      <c r="AE18"/>
      <c r="AH18"/>
    </row>
    <row r="19" spans="1:34" ht="15">
      <c r="A19" s="72" t="s">
        <v>75</v>
      </c>
      <c r="B19" s="72" t="s">
        <v>75</v>
      </c>
      <c r="AE19"/>
      <c r="AH19"/>
    </row>
    <row r="20" spans="1:34" ht="15">
      <c r="A20" s="72" t="s">
        <v>76</v>
      </c>
      <c r="B20" s="72" t="s">
        <v>76</v>
      </c>
      <c r="AE20"/>
      <c r="AH20"/>
    </row>
    <row r="21" spans="1:34" ht="15">
      <c r="A21" s="72" t="s">
        <v>77</v>
      </c>
      <c r="B21" s="72" t="s">
        <v>77</v>
      </c>
      <c r="AE21"/>
      <c r="AH21"/>
    </row>
    <row r="22" spans="1:34" ht="25.5">
      <c r="A22" s="72" t="s">
        <v>78</v>
      </c>
      <c r="B22" s="72" t="s">
        <v>78</v>
      </c>
      <c r="AE22"/>
      <c r="AH22"/>
    </row>
    <row r="23" spans="1:34" ht="38.25">
      <c r="A23" s="72" t="s">
        <v>79</v>
      </c>
      <c r="B23" s="72" t="s">
        <v>147</v>
      </c>
      <c r="AE23"/>
      <c r="AH23"/>
    </row>
    <row r="24" spans="1:34" ht="15">
      <c r="A24" s="72" t="s">
        <v>80</v>
      </c>
      <c r="B24" s="72" t="s">
        <v>80</v>
      </c>
      <c r="AE24"/>
      <c r="AH24"/>
    </row>
    <row r="25" spans="1:34" ht="25.5">
      <c r="A25" s="72" t="s">
        <v>81</v>
      </c>
      <c r="B25" s="72" t="s">
        <v>148</v>
      </c>
      <c r="AE25"/>
      <c r="AH25"/>
    </row>
    <row r="26" spans="1:34" ht="15">
      <c r="A26" s="72" t="s">
        <v>82</v>
      </c>
      <c r="B26" s="72" t="s">
        <v>82</v>
      </c>
      <c r="AE26"/>
      <c r="AH26"/>
    </row>
    <row r="27" spans="1:34" ht="15">
      <c r="A27" s="72" t="s">
        <v>83</v>
      </c>
      <c r="B27" s="72" t="s">
        <v>83</v>
      </c>
      <c r="AE27"/>
      <c r="AH27"/>
    </row>
    <row r="28" spans="1:34" ht="38.25">
      <c r="A28" s="72" t="s">
        <v>84</v>
      </c>
      <c r="B28" s="72" t="s">
        <v>149</v>
      </c>
      <c r="AE28"/>
      <c r="AH28"/>
    </row>
    <row r="29" spans="1:34" ht="38.25">
      <c r="A29" s="72" t="s">
        <v>85</v>
      </c>
      <c r="B29" s="72" t="s">
        <v>150</v>
      </c>
      <c r="AE29"/>
      <c r="AH29"/>
    </row>
    <row r="30" spans="1:34" ht="15">
      <c r="A30" s="72" t="s">
        <v>56</v>
      </c>
      <c r="B30" s="72" t="s">
        <v>151</v>
      </c>
      <c r="AE30"/>
      <c r="AH30"/>
    </row>
    <row r="31" spans="1:34" ht="15">
      <c r="A31" s="72" t="s">
        <v>86</v>
      </c>
      <c r="B31" s="72" t="s">
        <v>86</v>
      </c>
      <c r="AE31"/>
      <c r="AH31"/>
    </row>
    <row r="32" spans="1:34" ht="15">
      <c r="A32" s="72" t="s">
        <v>87</v>
      </c>
      <c r="B32" s="72" t="s">
        <v>87</v>
      </c>
      <c r="AE32"/>
      <c r="AH32"/>
    </row>
    <row r="33" spans="1:34" ht="15">
      <c r="A33" s="72" t="s">
        <v>88</v>
      </c>
      <c r="B33" s="72" t="s">
        <v>88</v>
      </c>
      <c r="AE33"/>
      <c r="AH33"/>
    </row>
    <row r="34" spans="1:34" ht="15">
      <c r="A34" s="72" t="s">
        <v>89</v>
      </c>
      <c r="B34" s="72" t="s">
        <v>89</v>
      </c>
      <c r="AE34"/>
      <c r="AH34"/>
    </row>
    <row r="35" spans="1:34" ht="15">
      <c r="AE35"/>
      <c r="AH35"/>
    </row>
    <row r="36" spans="1:34" ht="15">
      <c r="AE36"/>
      <c r="AH36"/>
    </row>
    <row r="37" spans="1:34" ht="15">
      <c r="AE37"/>
      <c r="AH37"/>
    </row>
    <row r="38" spans="1:34" ht="15">
      <c r="AE38"/>
      <c r="AH38"/>
    </row>
    <row r="39" spans="1:34" ht="15">
      <c r="AE39"/>
      <c r="AH39"/>
    </row>
    <row r="40" spans="1:34" ht="15">
      <c r="AE40"/>
      <c r="AH40"/>
    </row>
    <row r="41" spans="1:34" ht="15">
      <c r="AE41"/>
      <c r="AH41"/>
    </row>
    <row r="42" spans="1:34" ht="15">
      <c r="AE42"/>
      <c r="AH42"/>
    </row>
    <row r="43" spans="1:34" ht="15">
      <c r="AE43"/>
      <c r="AH43"/>
    </row>
    <row r="44" spans="1:34" ht="15">
      <c r="AE44"/>
      <c r="AH44"/>
    </row>
    <row r="45" spans="1:34" ht="15">
      <c r="AE45"/>
      <c r="AH45"/>
    </row>
    <row r="46" spans="1:34" ht="15">
      <c r="AE46"/>
      <c r="AH46"/>
    </row>
    <row r="47" spans="1:34" ht="15">
      <c r="AE47"/>
      <c r="AH47"/>
    </row>
    <row r="48" spans="1:34" ht="15">
      <c r="AE48"/>
      <c r="AH48"/>
    </row>
    <row r="49" spans="31:34" ht="15">
      <c r="AE49"/>
      <c r="AH49"/>
    </row>
    <row r="50" spans="31:34" ht="15">
      <c r="AE50"/>
      <c r="AH50"/>
    </row>
    <row r="51" spans="31:34" ht="15">
      <c r="AE51"/>
      <c r="AH51"/>
    </row>
    <row r="52" spans="31:34" ht="15">
      <c r="AE52"/>
      <c r="AH52"/>
    </row>
    <row r="53" spans="31:34" ht="15">
      <c r="AE53"/>
      <c r="AH53"/>
    </row>
    <row r="54" spans="31:34" ht="15">
      <c r="AE54"/>
      <c r="AH54"/>
    </row>
    <row r="55" spans="31:34" ht="15">
      <c r="AE55"/>
      <c r="AH55"/>
    </row>
    <row r="56" spans="31:34" ht="15">
      <c r="AE56"/>
      <c r="AH56"/>
    </row>
    <row r="57" spans="31:34" ht="15">
      <c r="AE57"/>
      <c r="AH57"/>
    </row>
    <row r="58" spans="31:34" ht="15">
      <c r="AE58"/>
      <c r="AH58"/>
    </row>
    <row r="59" spans="31:34" ht="15">
      <c r="AE59"/>
      <c r="AH59"/>
    </row>
    <row r="60" spans="31:34" ht="15">
      <c r="AE60"/>
      <c r="AH60"/>
    </row>
    <row r="61" spans="31:34" ht="15">
      <c r="AE61"/>
      <c r="AH61"/>
    </row>
    <row r="62" spans="31:34" ht="15">
      <c r="AE62"/>
      <c r="AH62"/>
    </row>
    <row r="63" spans="31:34" ht="15">
      <c r="AE63"/>
      <c r="AH63"/>
    </row>
    <row r="64" spans="31:34" ht="15">
      <c r="AE64"/>
      <c r="AH64"/>
    </row>
    <row r="65" spans="31:34" ht="15">
      <c r="AE65"/>
      <c r="AH65"/>
    </row>
    <row r="66" spans="31:34" ht="15">
      <c r="AE66"/>
      <c r="AH66"/>
    </row>
    <row r="67" spans="31:34" ht="15">
      <c r="AE67"/>
      <c r="AH67"/>
    </row>
    <row r="68" spans="31:34" ht="15">
      <c r="AE68"/>
      <c r="AH68"/>
    </row>
    <row r="69" spans="31:34" ht="15">
      <c r="AE69"/>
      <c r="AH69"/>
    </row>
    <row r="70" spans="31:34" ht="15">
      <c r="AE70"/>
      <c r="AH70"/>
    </row>
    <row r="71" spans="31:34" ht="15">
      <c r="AE71"/>
      <c r="AH71"/>
    </row>
    <row r="72" spans="31:34" ht="15">
      <c r="AE72"/>
      <c r="AH72"/>
    </row>
    <row r="73" spans="31:34" ht="15">
      <c r="AE73"/>
      <c r="AH73"/>
    </row>
    <row r="74" spans="31:34" ht="15">
      <c r="AE74"/>
      <c r="AH74"/>
    </row>
    <row r="75" spans="31:34" ht="15">
      <c r="AE75"/>
      <c r="AH75"/>
    </row>
    <row r="76" spans="31:34" ht="15">
      <c r="AE76"/>
      <c r="AH76"/>
    </row>
    <row r="77" spans="31:34" ht="15">
      <c r="AE77"/>
      <c r="AH77"/>
    </row>
    <row r="78" spans="31:34" ht="15">
      <c r="AE78"/>
      <c r="AH78"/>
    </row>
    <row r="79" spans="31:34" ht="15">
      <c r="AE79"/>
      <c r="AH79"/>
    </row>
    <row r="80" spans="31:34" ht="15">
      <c r="AE80"/>
      <c r="AH80"/>
    </row>
    <row r="81" spans="31:34" ht="15">
      <c r="AE81"/>
      <c r="AH81"/>
    </row>
    <row r="82" spans="31:34" ht="15">
      <c r="AE82"/>
      <c r="AH82"/>
    </row>
    <row r="83" spans="31:34" ht="15">
      <c r="AE83"/>
      <c r="AH83"/>
    </row>
    <row r="84" spans="31:34" ht="15">
      <c r="AE84"/>
      <c r="AH84"/>
    </row>
    <row r="85" spans="31:34" ht="15">
      <c r="AE85"/>
      <c r="AH85"/>
    </row>
    <row r="86" spans="31:34" ht="15">
      <c r="AE86"/>
      <c r="AH86"/>
    </row>
    <row r="87" spans="31:34" ht="15">
      <c r="AE87"/>
      <c r="AH87"/>
    </row>
    <row r="88" spans="31:34" ht="15">
      <c r="AE88"/>
      <c r="AH88"/>
    </row>
    <row r="89" spans="31:34" ht="15">
      <c r="AE89"/>
      <c r="AH89"/>
    </row>
    <row r="90" spans="31:34" ht="15">
      <c r="AE90"/>
      <c r="AH90"/>
    </row>
    <row r="91" spans="31:34" ht="15">
      <c r="AE91"/>
      <c r="AH91"/>
    </row>
    <row r="92" spans="31:34" ht="15">
      <c r="AE92"/>
      <c r="AH92"/>
    </row>
    <row r="93" spans="31:34" ht="15">
      <c r="AE93"/>
      <c r="AH93"/>
    </row>
    <row r="94" spans="31:34" ht="15">
      <c r="AE94"/>
      <c r="AH94"/>
    </row>
    <row r="95" spans="31:34" ht="15">
      <c r="AE95"/>
      <c r="AH95"/>
    </row>
    <row r="96" spans="31:34" ht="15">
      <c r="AE96"/>
      <c r="AH96"/>
    </row>
    <row r="97" spans="31:34" ht="15">
      <c r="AE97"/>
      <c r="AH97"/>
    </row>
    <row r="98" spans="31:34" ht="15">
      <c r="AE98"/>
      <c r="AH98"/>
    </row>
  </sheetData>
  <conditionalFormatting sqref="B3:B34">
    <cfRule type="cellIs" dxfId="3" priority="5" operator="equal">
      <formula>0</formula>
    </cfRule>
  </conditionalFormatting>
  <conditionalFormatting sqref="D2:AI2">
    <cfRule type="cellIs" dxfId="2" priority="4" operator="equal">
      <formula>0</formula>
    </cfRule>
  </conditionalFormatting>
  <conditionalFormatting sqref="K3:K4">
    <cfRule type="cellIs" dxfId="1" priority="2" operator="equal">
      <formula>0</formula>
    </cfRule>
  </conditionalFormatting>
  <conditionalFormatting sqref="A3:A34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Normal="100" zoomScaleSheetLayoutView="100" workbookViewId="0">
      <selection activeCell="E19" sqref="E19"/>
    </sheetView>
  </sheetViews>
  <sheetFormatPr defaultColWidth="9.140625" defaultRowHeight="15"/>
  <cols>
    <col min="1" max="1" width="5.140625" style="307" bestFit="1" customWidth="1"/>
    <col min="2" max="2" width="23.7109375" style="307" customWidth="1"/>
    <col min="3" max="3" width="17.7109375" style="307" customWidth="1"/>
    <col min="4" max="4" width="15.140625" style="307" customWidth="1"/>
    <col min="5" max="5" width="12.7109375" style="307" customWidth="1"/>
    <col min="6" max="6" width="12.28515625" style="307" customWidth="1"/>
    <col min="7" max="7" width="7.28515625" style="307" bestFit="1" customWidth="1"/>
    <col min="8" max="8" width="14" style="307" customWidth="1"/>
    <col min="9" max="9" width="13" style="307" customWidth="1"/>
    <col min="10" max="10" width="12.7109375" style="307" bestFit="1" customWidth="1"/>
    <col min="11" max="11" width="9.7109375" style="307" bestFit="1" customWidth="1"/>
    <col min="12" max="12" width="15" style="307" bestFit="1" customWidth="1"/>
    <col min="13" max="13" width="11.85546875" style="303" bestFit="1" customWidth="1"/>
    <col min="14" max="16384" width="9.140625" style="307"/>
  </cols>
  <sheetData>
    <row r="1" spans="1:13" s="285" customFormat="1">
      <c r="A1" s="483" t="s">
        <v>389</v>
      </c>
      <c r="B1" s="484"/>
      <c r="C1" s="281"/>
      <c r="D1" s="312"/>
      <c r="E1" s="312"/>
      <c r="F1" s="312"/>
      <c r="G1" s="281"/>
      <c r="H1" s="281"/>
      <c r="I1" s="281"/>
      <c r="J1" s="282"/>
      <c r="K1" s="283"/>
      <c r="L1" s="284"/>
      <c r="M1" s="283"/>
    </row>
    <row r="2" spans="1:13" s="285" customFormat="1">
      <c r="A2" s="485" t="s">
        <v>384</v>
      </c>
      <c r="B2" s="486"/>
      <c r="C2" s="286"/>
      <c r="G2" s="287"/>
      <c r="H2" s="287"/>
      <c r="I2" s="287"/>
      <c r="J2" s="288"/>
      <c r="K2" s="283"/>
      <c r="L2" s="284"/>
      <c r="M2" s="283"/>
    </row>
    <row r="3" spans="1:13" s="285" customFormat="1">
      <c r="A3" s="286" t="s">
        <v>391</v>
      </c>
      <c r="B3" s="286"/>
      <c r="C3" s="286"/>
      <c r="G3" s="289"/>
      <c r="H3" s="289"/>
      <c r="I3" s="289"/>
      <c r="J3" s="290"/>
      <c r="K3" s="283"/>
      <c r="L3" s="284"/>
      <c r="M3" s="283"/>
    </row>
    <row r="4" spans="1:13" s="285" customFormat="1">
      <c r="A4" s="485" t="s">
        <v>390</v>
      </c>
      <c r="B4" s="486"/>
      <c r="C4" s="291"/>
      <c r="G4" s="292"/>
      <c r="H4" s="292"/>
      <c r="I4" s="292"/>
      <c r="J4" s="293"/>
      <c r="K4" s="283"/>
      <c r="L4" s="284"/>
      <c r="M4" s="283"/>
    </row>
    <row r="5" spans="1:13" ht="31.5" customHeight="1">
      <c r="A5" s="487" t="s">
        <v>392</v>
      </c>
      <c r="B5" s="488"/>
      <c r="C5" s="488"/>
      <c r="D5" s="488"/>
      <c r="E5" s="488"/>
      <c r="F5" s="488"/>
      <c r="G5" s="488"/>
      <c r="H5" s="488"/>
      <c r="I5" s="488"/>
      <c r="J5" s="489"/>
      <c r="K5" s="294"/>
      <c r="L5" s="295"/>
      <c r="M5" s="296"/>
    </row>
    <row r="6" spans="1:13" ht="31.5" customHeight="1">
      <c r="A6" s="297" t="s">
        <v>378</v>
      </c>
      <c r="B6" s="298" t="s">
        <v>379</v>
      </c>
      <c r="C6" s="298" t="s">
        <v>383</v>
      </c>
      <c r="D6" s="299" t="s">
        <v>385</v>
      </c>
      <c r="E6" s="318" t="s">
        <v>386</v>
      </c>
      <c r="F6" s="318" t="s">
        <v>387</v>
      </c>
      <c r="G6" s="300" t="s">
        <v>380</v>
      </c>
      <c r="H6" s="299" t="s">
        <v>385</v>
      </c>
      <c r="I6" s="318" t="s">
        <v>386</v>
      </c>
      <c r="J6" s="318" t="s">
        <v>387</v>
      </c>
      <c r="K6" s="294"/>
      <c r="L6" s="314"/>
      <c r="M6" s="296"/>
    </row>
    <row r="7" spans="1:13">
      <c r="A7" s="316">
        <v>1</v>
      </c>
      <c r="B7" s="317" t="s">
        <v>425</v>
      </c>
      <c r="C7" s="317" t="s">
        <v>428</v>
      </c>
      <c r="D7" s="309" t="e">
        <f>#REF!</f>
        <v>#REF!</v>
      </c>
      <c r="E7" s="319" t="e">
        <f>#REF!</f>
        <v>#REF!</v>
      </c>
      <c r="F7" s="319" t="e">
        <f>#REF!</f>
        <v>#REF!</v>
      </c>
      <c r="G7" s="310">
        <v>5</v>
      </c>
      <c r="H7" s="309" t="e">
        <f>D7*G7</f>
        <v>#REF!</v>
      </c>
      <c r="I7" s="320" t="e">
        <f>E7*G7</f>
        <v>#REF!</v>
      </c>
      <c r="J7" s="311" t="e">
        <f>F7*G7</f>
        <v>#REF!</v>
      </c>
      <c r="K7" s="294"/>
      <c r="L7" s="313"/>
      <c r="M7" s="296"/>
    </row>
    <row r="8" spans="1:13">
      <c r="A8" s="316">
        <v>2</v>
      </c>
      <c r="B8" s="317" t="s">
        <v>426</v>
      </c>
      <c r="C8" s="317" t="s">
        <v>428</v>
      </c>
      <c r="D8" s="309" t="e">
        <f>#REF!</f>
        <v>#REF!</v>
      </c>
      <c r="E8" s="319" t="e">
        <f>#REF!</f>
        <v>#REF!</v>
      </c>
      <c r="F8" s="319" t="e">
        <f>#REF!</f>
        <v>#REF!</v>
      </c>
      <c r="G8" s="310">
        <v>2</v>
      </c>
      <c r="H8" s="309" t="e">
        <f>D8*G8</f>
        <v>#REF!</v>
      </c>
      <c r="I8" s="320" t="e">
        <f>E8*G8</f>
        <v>#REF!</v>
      </c>
      <c r="J8" s="311" t="e">
        <f>F8*G8</f>
        <v>#REF!</v>
      </c>
      <c r="K8" s="294"/>
      <c r="L8" s="313"/>
      <c r="M8" s="296"/>
    </row>
    <row r="9" spans="1:13">
      <c r="A9" s="316">
        <v>3</v>
      </c>
      <c r="B9" s="317" t="s">
        <v>427</v>
      </c>
      <c r="C9" s="317" t="s">
        <v>428</v>
      </c>
      <c r="D9" s="309" t="e">
        <f>#REF!</f>
        <v>#REF!</v>
      </c>
      <c r="E9" s="319" t="e">
        <f>#REF!</f>
        <v>#REF!</v>
      </c>
      <c r="F9" s="319" t="e">
        <f>#REF!</f>
        <v>#REF!</v>
      </c>
      <c r="G9" s="310">
        <v>1</v>
      </c>
      <c r="H9" s="309" t="e">
        <f>D9*G9</f>
        <v>#REF!</v>
      </c>
      <c r="I9" s="320" t="e">
        <f>E9*G9</f>
        <v>#REF!</v>
      </c>
      <c r="J9" s="311" t="e">
        <f>F9*G9</f>
        <v>#REF!</v>
      </c>
      <c r="K9" s="294"/>
      <c r="L9" s="313"/>
      <c r="M9" s="296"/>
    </row>
    <row r="10" spans="1:13" ht="15.75" thickBot="1">
      <c r="A10" s="480" t="s">
        <v>310</v>
      </c>
      <c r="B10" s="481"/>
      <c r="C10" s="481"/>
      <c r="D10" s="482"/>
      <c r="E10" s="315"/>
      <c r="F10" s="315"/>
      <c r="G10" s="301">
        <f>SUM(G7:G9)</f>
        <v>8</v>
      </c>
      <c r="H10" s="302" t="e">
        <f>SUM(H7:H9)</f>
        <v>#REF!</v>
      </c>
      <c r="I10" s="302" t="e">
        <f>SUM(I7:I9)</f>
        <v>#REF!</v>
      </c>
      <c r="J10" s="302" t="e">
        <f>SUM(J7:J9)</f>
        <v>#REF!</v>
      </c>
      <c r="K10" s="294"/>
      <c r="L10" s="294"/>
      <c r="M10" s="296"/>
    </row>
    <row r="11" spans="1:13" ht="15.75" thickBot="1">
      <c r="A11" s="480" t="s">
        <v>388</v>
      </c>
      <c r="B11" s="481"/>
      <c r="C11" s="481"/>
      <c r="D11" s="482"/>
      <c r="E11" s="321"/>
      <c r="F11" s="321"/>
      <c r="G11" s="321"/>
      <c r="H11" s="322" t="e">
        <f>H10/G10</f>
        <v>#REF!</v>
      </c>
      <c r="I11" s="322" t="e">
        <f>I10/G10</f>
        <v>#REF!</v>
      </c>
      <c r="J11" s="322" t="e">
        <f>J10/G10</f>
        <v>#REF!</v>
      </c>
    </row>
  </sheetData>
  <mergeCells count="6">
    <mergeCell ref="A11:D11"/>
    <mergeCell ref="A10:D10"/>
    <mergeCell ref="A1:B1"/>
    <mergeCell ref="A2:B2"/>
    <mergeCell ref="A4:B4"/>
    <mergeCell ref="A5:J5"/>
  </mergeCells>
  <pageMargins left="0.51181102362204722" right="0.51181102362204722" top="3.1496062992125986" bottom="0.39370078740157483" header="0.31496062992125984" footer="0.31496062992125984"/>
  <pageSetup paperSize="9" scale="68" orientation="portrait" r:id="rId1"/>
  <colBreaks count="1" manualBreakCount="1">
    <brk id="10" max="3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Normal="100" zoomScaleSheetLayoutView="100" workbookViewId="0">
      <selection activeCell="J18" sqref="J18"/>
    </sheetView>
  </sheetViews>
  <sheetFormatPr defaultColWidth="8.85546875" defaultRowHeight="15"/>
  <cols>
    <col min="1" max="1" width="5.42578125" style="386" customWidth="1"/>
    <col min="2" max="2" width="33.42578125" style="386" customWidth="1"/>
    <col min="3" max="3" width="20.85546875" style="386" bestFit="1" customWidth="1"/>
    <col min="4" max="4" width="14.42578125" style="386" customWidth="1"/>
    <col min="5" max="5" width="8.42578125" style="404" customWidth="1"/>
    <col min="6" max="6" width="15.28515625" style="404" customWidth="1"/>
    <col min="7" max="7" width="19.140625" style="404" customWidth="1"/>
    <col min="8" max="8" width="12.7109375" style="386" customWidth="1"/>
    <col min="9" max="9" width="14.85546875" style="387" customWidth="1"/>
    <col min="10" max="10" width="13.5703125" style="386" customWidth="1"/>
    <col min="11" max="16384" width="8.85546875" style="386"/>
  </cols>
  <sheetData>
    <row r="1" spans="1:10" s="382" customFormat="1">
      <c r="A1" s="499" t="s">
        <v>453</v>
      </c>
      <c r="B1" s="500"/>
      <c r="C1" s="500"/>
      <c r="D1" s="500"/>
      <c r="E1" s="500"/>
      <c r="F1" s="500"/>
      <c r="G1" s="501"/>
      <c r="H1" s="380"/>
      <c r="I1" s="381"/>
    </row>
    <row r="2" spans="1:10" ht="9.75" customHeight="1" thickBot="1">
      <c r="A2" s="383"/>
      <c r="B2" s="382"/>
      <c r="C2" s="382"/>
      <c r="D2" s="382"/>
      <c r="E2" s="384"/>
      <c r="F2" s="384"/>
      <c r="G2" s="385"/>
    </row>
    <row r="3" spans="1:10" ht="19.5" customHeight="1">
      <c r="A3" s="493" t="s">
        <v>445</v>
      </c>
      <c r="B3" s="494"/>
      <c r="C3" s="494"/>
      <c r="D3" s="494"/>
      <c r="E3" s="494"/>
      <c r="F3" s="494"/>
      <c r="G3" s="495"/>
      <c r="J3" s="387"/>
    </row>
    <row r="4" spans="1:10" ht="26.25" customHeight="1">
      <c r="A4" s="388" t="s">
        <v>378</v>
      </c>
      <c r="B4" s="388" t="s">
        <v>379</v>
      </c>
      <c r="C4" s="388" t="s">
        <v>393</v>
      </c>
      <c r="D4" s="389" t="s">
        <v>394</v>
      </c>
      <c r="E4" s="390" t="s">
        <v>380</v>
      </c>
      <c r="F4" s="390" t="s">
        <v>381</v>
      </c>
      <c r="G4" s="390" t="s">
        <v>400</v>
      </c>
      <c r="J4" s="387"/>
    </row>
    <row r="5" spans="1:10">
      <c r="A5" s="491">
        <v>1</v>
      </c>
      <c r="B5" s="390" t="s">
        <v>446</v>
      </c>
      <c r="C5" s="388" t="s">
        <v>447</v>
      </c>
      <c r="D5" s="391">
        <f>'Servente 24h'!K97</f>
        <v>3233.24</v>
      </c>
      <c r="E5" s="390">
        <v>1</v>
      </c>
      <c r="F5" s="392">
        <f t="shared" ref="F5" si="0">D5*E5</f>
        <v>3233.24</v>
      </c>
      <c r="G5" s="392">
        <f t="shared" ref="G5" si="1">F5*12</f>
        <v>38798.879999999997</v>
      </c>
      <c r="H5" s="393"/>
      <c r="I5" s="394"/>
      <c r="J5" s="395"/>
    </row>
    <row r="6" spans="1:10">
      <c r="A6" s="492"/>
      <c r="B6" s="390" t="s">
        <v>448</v>
      </c>
      <c r="C6" s="388" t="s">
        <v>447</v>
      </c>
      <c r="D6" s="391">
        <f>'Jardineiro 8h-1x mês'!K97</f>
        <v>581.28</v>
      </c>
      <c r="E6" s="390">
        <v>1</v>
      </c>
      <c r="F6" s="392">
        <f>D6*E6</f>
        <v>581.28</v>
      </c>
      <c r="G6" s="392">
        <f>F6*12</f>
        <v>6975.36</v>
      </c>
      <c r="H6" s="393"/>
      <c r="J6" s="387"/>
    </row>
    <row r="7" spans="1:10">
      <c r="B7" s="490"/>
      <c r="C7" s="490"/>
      <c r="D7" s="490"/>
      <c r="E7" s="490"/>
      <c r="F7" s="490"/>
      <c r="G7" s="396"/>
    </row>
    <row r="8" spans="1:10">
      <c r="B8" s="490"/>
      <c r="C8" s="490"/>
      <c r="D8" s="490"/>
      <c r="E8" s="490"/>
      <c r="F8" s="490"/>
      <c r="G8" s="396"/>
    </row>
    <row r="9" spans="1:10" ht="26.25" customHeight="1">
      <c r="A9" s="496" t="s">
        <v>310</v>
      </c>
      <c r="B9" s="497"/>
      <c r="C9" s="497"/>
      <c r="D9" s="498"/>
      <c r="E9" s="365">
        <f>SUM(E5:E7)</f>
        <v>2</v>
      </c>
      <c r="F9" s="378">
        <f>SUM(F5:F7)</f>
        <v>3814.5199999999995</v>
      </c>
      <c r="G9" s="378">
        <f>SUM(G5:G7)</f>
        <v>45774.239999999998</v>
      </c>
    </row>
    <row r="10" spans="1:10" s="382" customFormat="1">
      <c r="A10" s="397"/>
      <c r="B10" s="397"/>
      <c r="C10" s="397"/>
      <c r="D10" s="397"/>
      <c r="E10" s="398"/>
      <c r="F10" s="399"/>
      <c r="G10" s="399"/>
      <c r="H10" s="400"/>
      <c r="I10" s="401"/>
    </row>
    <row r="11" spans="1:10">
      <c r="A11" s="402"/>
      <c r="B11" s="403"/>
      <c r="G11" s="404" t="s">
        <v>233</v>
      </c>
    </row>
    <row r="12" spans="1:10" ht="15.75">
      <c r="A12" s="405"/>
      <c r="B12" s="403"/>
    </row>
    <row r="14" spans="1:10">
      <c r="E14" s="406"/>
    </row>
    <row r="25" spans="2:2">
      <c r="B25" s="407"/>
    </row>
  </sheetData>
  <mergeCells count="6">
    <mergeCell ref="A3:G3"/>
    <mergeCell ref="A9:D9"/>
    <mergeCell ref="A1:G1"/>
    <mergeCell ref="B7:F7"/>
    <mergeCell ref="B8:F8"/>
    <mergeCell ref="A5:A6"/>
  </mergeCells>
  <pageMargins left="0.51181102362204722" right="0.51181102362204722" top="1.24" bottom="0.39370078740157483" header="0.31496062992125984" footer="0.31496062992125984"/>
  <pageSetup paperSize="9" scale="78" orientation="portrait" r:id="rId1"/>
  <rowBreaks count="1" manualBreakCount="1">
    <brk id="13" max="6" man="1"/>
  </rowBreaks>
  <colBreaks count="1" manualBreakCount="1">
    <brk id="7" max="1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workbookViewId="0">
      <selection activeCell="H21" sqref="H21"/>
    </sheetView>
  </sheetViews>
  <sheetFormatPr defaultRowHeight="15"/>
  <cols>
    <col min="1" max="1" width="63" style="170" customWidth="1"/>
    <col min="2" max="2" width="16.42578125" style="170" customWidth="1"/>
    <col min="3" max="3" width="13.85546875" style="170" customWidth="1"/>
    <col min="4" max="4" width="14.140625" style="256" customWidth="1"/>
    <col min="5" max="5" width="14.5703125" style="170" customWidth="1"/>
    <col min="6" max="6" width="17.28515625" style="170" customWidth="1"/>
    <col min="7" max="7" width="8.5703125" style="252" customWidth="1"/>
    <col min="8" max="8" width="13.140625" style="170" customWidth="1"/>
    <col min="9" max="9" width="52.5703125" style="109" bestFit="1" customWidth="1"/>
  </cols>
  <sheetData>
    <row r="1" spans="1:8">
      <c r="A1" s="507" t="s">
        <v>221</v>
      </c>
      <c r="B1" s="507"/>
      <c r="C1" s="507"/>
      <c r="D1" s="507"/>
      <c r="E1" s="507"/>
      <c r="F1" s="507"/>
      <c r="G1" s="507"/>
    </row>
    <row r="2" spans="1:8">
      <c r="A2" s="502"/>
      <c r="B2" s="502"/>
      <c r="C2" s="502"/>
      <c r="D2" s="502"/>
      <c r="E2" s="502"/>
      <c r="F2" s="502"/>
      <c r="G2" s="502"/>
      <c r="H2" s="171"/>
    </row>
    <row r="3" spans="1:8" ht="25.5">
      <c r="A3" s="172" t="s">
        <v>222</v>
      </c>
      <c r="B3" s="173" t="s">
        <v>223</v>
      </c>
      <c r="C3" s="174" t="s">
        <v>224</v>
      </c>
      <c r="D3" s="175" t="s">
        <v>225</v>
      </c>
      <c r="E3" s="174" t="s">
        <v>226</v>
      </c>
      <c r="F3" s="174" t="s">
        <v>227</v>
      </c>
      <c r="G3" s="174" t="s">
        <v>228</v>
      </c>
      <c r="H3" s="176"/>
    </row>
    <row r="4" spans="1:8">
      <c r="A4" s="177" t="s">
        <v>53</v>
      </c>
      <c r="B4" s="178" t="s">
        <v>229</v>
      </c>
      <c r="C4" s="179">
        <f>1/750</f>
        <v>1.3333333333333333E-3</v>
      </c>
      <c r="D4" s="180">
        <f>[1]RESUMO!C6</f>
        <v>3494.93</v>
      </c>
      <c r="E4" s="181"/>
      <c r="F4" s="181"/>
      <c r="G4" s="175">
        <f>D4*C4</f>
        <v>4.6599066666666662</v>
      </c>
      <c r="H4" s="182"/>
    </row>
    <row r="5" spans="1:8">
      <c r="A5" s="177" t="s">
        <v>230</v>
      </c>
      <c r="B5" s="178" t="s">
        <v>231</v>
      </c>
      <c r="C5" s="179">
        <f>1/20/750</f>
        <v>6.666666666666667E-5</v>
      </c>
      <c r="D5" s="180">
        <f>[1]RESUMO!C10</f>
        <v>4232.68</v>
      </c>
      <c r="E5" s="181"/>
      <c r="F5" s="181"/>
      <c r="G5" s="175">
        <f>D5*C5</f>
        <v>0.28217866666666669</v>
      </c>
      <c r="H5" s="182"/>
    </row>
    <row r="6" spans="1:8">
      <c r="A6" s="183" t="s">
        <v>232</v>
      </c>
      <c r="B6" s="178"/>
      <c r="C6" s="184" t="s">
        <v>233</v>
      </c>
      <c r="D6" s="180"/>
      <c r="E6" s="180"/>
      <c r="F6" s="180"/>
      <c r="G6" s="185">
        <f>SUM(G4:G5)</f>
        <v>4.942085333333333</v>
      </c>
      <c r="H6" s="186"/>
    </row>
    <row r="7" spans="1:8">
      <c r="A7" s="502"/>
      <c r="B7" s="502"/>
      <c r="C7" s="502"/>
      <c r="D7" s="502"/>
      <c r="E7" s="502"/>
      <c r="F7" s="502"/>
      <c r="G7" s="502"/>
      <c r="H7" s="171"/>
    </row>
    <row r="8" spans="1:8" ht="25.5">
      <c r="A8" s="172" t="s">
        <v>234</v>
      </c>
      <c r="B8" s="173" t="s">
        <v>223</v>
      </c>
      <c r="C8" s="174" t="s">
        <v>224</v>
      </c>
      <c r="D8" s="175" t="s">
        <v>225</v>
      </c>
      <c r="E8" s="174" t="s">
        <v>226</v>
      </c>
      <c r="F8" s="174" t="s">
        <v>227</v>
      </c>
      <c r="G8" s="174" t="s">
        <v>228</v>
      </c>
      <c r="H8" s="176"/>
    </row>
    <row r="9" spans="1:8">
      <c r="A9" s="177" t="s">
        <v>53</v>
      </c>
      <c r="B9" s="178" t="s">
        <v>229</v>
      </c>
      <c r="C9" s="179">
        <v>1.333E-3</v>
      </c>
      <c r="D9" s="180">
        <f>D4</f>
        <v>3494.93</v>
      </c>
      <c r="E9" s="181"/>
      <c r="F9" s="181"/>
      <c r="G9" s="175">
        <f>D9*C9</f>
        <v>4.6587416899999994</v>
      </c>
      <c r="H9" s="182"/>
    </row>
    <row r="10" spans="1:8">
      <c r="A10" s="177" t="s">
        <v>230</v>
      </c>
      <c r="B10" s="178" t="s">
        <v>231</v>
      </c>
      <c r="C10" s="179">
        <v>6.6699999999999995E-5</v>
      </c>
      <c r="D10" s="180">
        <f>D5</f>
        <v>4232.68</v>
      </c>
      <c r="E10" s="181"/>
      <c r="F10" s="181"/>
      <c r="G10" s="175">
        <f>D10*C10</f>
        <v>0.28231975599999998</v>
      </c>
      <c r="H10" s="182"/>
    </row>
    <row r="11" spans="1:8">
      <c r="A11" s="183" t="s">
        <v>232</v>
      </c>
      <c r="B11" s="178"/>
      <c r="C11" s="184" t="s">
        <v>233</v>
      </c>
      <c r="D11" s="180"/>
      <c r="E11" s="180"/>
      <c r="F11" s="180"/>
      <c r="G11" s="185">
        <f>SUM(G9:G10)</f>
        <v>4.9410614459999991</v>
      </c>
      <c r="H11" s="186"/>
    </row>
    <row r="12" spans="1:8">
      <c r="A12" s="502"/>
      <c r="B12" s="502"/>
      <c r="C12" s="502"/>
      <c r="D12" s="502"/>
      <c r="E12" s="502"/>
      <c r="F12" s="502"/>
      <c r="G12" s="502"/>
      <c r="H12" s="171"/>
    </row>
    <row r="13" spans="1:8" ht="25.5">
      <c r="A13" s="172" t="s">
        <v>235</v>
      </c>
      <c r="B13" s="173" t="s">
        <v>223</v>
      </c>
      <c r="C13" s="174" t="s">
        <v>236</v>
      </c>
      <c r="D13" s="175" t="s">
        <v>225</v>
      </c>
      <c r="E13" s="174" t="s">
        <v>226</v>
      </c>
      <c r="F13" s="174" t="s">
        <v>227</v>
      </c>
      <c r="G13" s="174" t="s">
        <v>228</v>
      </c>
      <c r="H13" s="171"/>
    </row>
    <row r="14" spans="1:8">
      <c r="A14" s="177" t="s">
        <v>53</v>
      </c>
      <c r="B14" s="178" t="s">
        <v>237</v>
      </c>
      <c r="C14" s="179">
        <v>8.8889999999999998E-4</v>
      </c>
      <c r="D14" s="180">
        <f>[1]RESUMO!C8</f>
        <v>7816.46</v>
      </c>
      <c r="E14" s="181"/>
      <c r="F14" s="180"/>
      <c r="G14" s="175">
        <f>D14*C14</f>
        <v>6.9480512939999999</v>
      </c>
      <c r="H14" s="171"/>
    </row>
    <row r="15" spans="1:8">
      <c r="A15" s="177" t="s">
        <v>230</v>
      </c>
      <c r="B15" s="178" t="s">
        <v>238</v>
      </c>
      <c r="C15" s="179">
        <v>4.4400000000000002E-5</v>
      </c>
      <c r="D15" s="180">
        <f>[1]RESUMO!C12</f>
        <v>9704.58</v>
      </c>
      <c r="E15" s="181"/>
      <c r="F15" s="180"/>
      <c r="G15" s="175">
        <f>D15*C15</f>
        <v>0.430883352</v>
      </c>
      <c r="H15" s="187"/>
    </row>
    <row r="16" spans="1:8">
      <c r="A16" s="188" t="s">
        <v>232</v>
      </c>
      <c r="B16" s="189" t="s">
        <v>239</v>
      </c>
      <c r="C16" s="504"/>
      <c r="D16" s="504"/>
      <c r="E16" s="504"/>
      <c r="F16" s="504"/>
      <c r="G16" s="185">
        <f>SUM(G14:G15)</f>
        <v>7.3789346460000003</v>
      </c>
      <c r="H16" s="171"/>
    </row>
    <row r="17" spans="1:8">
      <c r="A17" s="502"/>
      <c r="B17" s="502"/>
      <c r="C17" s="502"/>
      <c r="D17" s="502"/>
      <c r="E17" s="502"/>
      <c r="F17" s="502"/>
      <c r="G17" s="502"/>
      <c r="H17" s="171"/>
    </row>
    <row r="18" spans="1:8" ht="25.5">
      <c r="A18" s="172" t="s">
        <v>240</v>
      </c>
      <c r="B18" s="173" t="s">
        <v>223</v>
      </c>
      <c r="C18" s="174" t="s">
        <v>236</v>
      </c>
      <c r="D18" s="175" t="s">
        <v>225</v>
      </c>
      <c r="E18" s="174" t="s">
        <v>226</v>
      </c>
      <c r="F18" s="174" t="s">
        <v>227</v>
      </c>
      <c r="G18" s="174" t="s">
        <v>228</v>
      </c>
      <c r="H18" s="171"/>
    </row>
    <row r="19" spans="1:8">
      <c r="A19" s="177" t="s">
        <v>53</v>
      </c>
      <c r="B19" s="178" t="s">
        <v>237</v>
      </c>
      <c r="C19" s="179">
        <v>8.8889999999999998E-4</v>
      </c>
      <c r="D19" s="180">
        <f>D14</f>
        <v>7816.46</v>
      </c>
      <c r="E19" s="181"/>
      <c r="F19" s="180"/>
      <c r="G19" s="175">
        <f>D19*C19</f>
        <v>6.9480512939999999</v>
      </c>
      <c r="H19" s="171"/>
    </row>
    <row r="20" spans="1:8">
      <c r="A20" s="177" t="s">
        <v>230</v>
      </c>
      <c r="B20" s="178" t="s">
        <v>238</v>
      </c>
      <c r="C20" s="179">
        <v>4.4400000000000002E-5</v>
      </c>
      <c r="D20" s="180">
        <f>D15</f>
        <v>9704.58</v>
      </c>
      <c r="E20" s="181"/>
      <c r="F20" s="180"/>
      <c r="G20" s="175">
        <f>D20*C20</f>
        <v>0.430883352</v>
      </c>
      <c r="H20" s="187"/>
    </row>
    <row r="21" spans="1:8">
      <c r="A21" s="188" t="s">
        <v>232</v>
      </c>
      <c r="B21" s="189" t="s">
        <v>239</v>
      </c>
      <c r="C21" s="504"/>
      <c r="D21" s="504"/>
      <c r="E21" s="504"/>
      <c r="F21" s="504"/>
      <c r="G21" s="185">
        <f>SUM(G19:G20)</f>
        <v>7.3789346460000003</v>
      </c>
      <c r="H21" s="171"/>
    </row>
    <row r="22" spans="1:8">
      <c r="A22" s="502"/>
      <c r="B22" s="502"/>
      <c r="C22" s="502"/>
      <c r="D22" s="502"/>
      <c r="E22" s="502"/>
      <c r="F22" s="502"/>
      <c r="G22" s="502"/>
      <c r="H22" s="171"/>
    </row>
    <row r="23" spans="1:8" ht="25.5">
      <c r="A23" s="190" t="s">
        <v>241</v>
      </c>
      <c r="B23" s="173" t="s">
        <v>223</v>
      </c>
      <c r="C23" s="174" t="s">
        <v>224</v>
      </c>
      <c r="D23" s="175" t="s">
        <v>225</v>
      </c>
      <c r="E23" s="174" t="s">
        <v>226</v>
      </c>
      <c r="F23" s="174" t="s">
        <v>227</v>
      </c>
      <c r="G23" s="174" t="s">
        <v>228</v>
      </c>
      <c r="H23" s="171"/>
    </row>
    <row r="24" spans="1:8">
      <c r="A24" s="177" t="s">
        <v>53</v>
      </c>
      <c r="B24" s="178" t="s">
        <v>229</v>
      </c>
      <c r="C24" s="179">
        <v>1.333E-3</v>
      </c>
      <c r="D24" s="180">
        <f>D9</f>
        <v>3494.93</v>
      </c>
      <c r="E24" s="181"/>
      <c r="F24" s="180"/>
      <c r="G24" s="175">
        <f>D24*C24</f>
        <v>4.6587416899999994</v>
      </c>
      <c r="H24" s="171"/>
    </row>
    <row r="25" spans="1:8">
      <c r="A25" s="177" t="s">
        <v>230</v>
      </c>
      <c r="B25" s="178" t="s">
        <v>231</v>
      </c>
      <c r="C25" s="179">
        <v>6.6699999999999995E-5</v>
      </c>
      <c r="D25" s="180">
        <f>D10</f>
        <v>4232.68</v>
      </c>
      <c r="E25" s="181"/>
      <c r="F25" s="180"/>
      <c r="G25" s="175">
        <f>D25*C25</f>
        <v>0.28231975599999998</v>
      </c>
      <c r="H25" s="187"/>
    </row>
    <row r="26" spans="1:8">
      <c r="A26" s="188" t="s">
        <v>232</v>
      </c>
      <c r="B26" s="189" t="s">
        <v>239</v>
      </c>
      <c r="C26" s="504"/>
      <c r="D26" s="504"/>
      <c r="E26" s="504"/>
      <c r="F26" s="504"/>
      <c r="G26" s="185">
        <f>SUM(G24:G25)</f>
        <v>4.9410614459999991</v>
      </c>
      <c r="H26" s="171"/>
    </row>
    <row r="27" spans="1:8">
      <c r="A27" s="502"/>
      <c r="B27" s="502"/>
      <c r="C27" s="502"/>
      <c r="D27" s="502"/>
      <c r="E27" s="502"/>
      <c r="F27" s="502"/>
      <c r="G27" s="502"/>
      <c r="H27" s="171"/>
    </row>
    <row r="28" spans="1:8" ht="25.5">
      <c r="A28" s="172" t="s">
        <v>242</v>
      </c>
      <c r="B28" s="173" t="s">
        <v>223</v>
      </c>
      <c r="C28" s="174" t="s">
        <v>224</v>
      </c>
      <c r="D28" s="175" t="s">
        <v>225</v>
      </c>
      <c r="E28" s="174" t="s">
        <v>226</v>
      </c>
      <c r="F28" s="174" t="s">
        <v>227</v>
      </c>
      <c r="G28" s="174" t="s">
        <v>228</v>
      </c>
      <c r="H28" s="171"/>
    </row>
    <row r="29" spans="1:8">
      <c r="A29" s="177" t="s">
        <v>53</v>
      </c>
      <c r="B29" s="178" t="s">
        <v>229</v>
      </c>
      <c r="C29" s="179">
        <v>1.333E-3</v>
      </c>
      <c r="D29" s="181">
        <f>D24</f>
        <v>3494.93</v>
      </c>
      <c r="E29" s="181"/>
      <c r="F29" s="181"/>
      <c r="G29" s="175">
        <f>D29*C29</f>
        <v>4.6587416899999994</v>
      </c>
      <c r="H29" s="171"/>
    </row>
    <row r="30" spans="1:8">
      <c r="A30" s="177" t="s">
        <v>230</v>
      </c>
      <c r="B30" s="178" t="s">
        <v>231</v>
      </c>
      <c r="C30" s="179">
        <v>6.6699999999999995E-5</v>
      </c>
      <c r="D30" s="181">
        <f>D25</f>
        <v>4232.68</v>
      </c>
      <c r="E30" s="181"/>
      <c r="F30" s="181"/>
      <c r="G30" s="175">
        <f>D30*C30</f>
        <v>0.28231975599999998</v>
      </c>
      <c r="H30" s="187"/>
    </row>
    <row r="31" spans="1:8">
      <c r="A31" s="188" t="s">
        <v>232</v>
      </c>
      <c r="B31" s="189" t="s">
        <v>243</v>
      </c>
      <c r="C31" s="505"/>
      <c r="D31" s="505"/>
      <c r="E31" s="505"/>
      <c r="F31" s="505"/>
      <c r="G31" s="185">
        <f>SUM(G29:G30)</f>
        <v>4.9410614459999991</v>
      </c>
      <c r="H31" s="171"/>
    </row>
    <row r="32" spans="1:8">
      <c r="A32" s="502"/>
      <c r="B32" s="502"/>
      <c r="C32" s="502"/>
      <c r="D32" s="502"/>
      <c r="E32" s="502"/>
      <c r="F32" s="502"/>
      <c r="G32" s="502"/>
      <c r="H32" s="171"/>
    </row>
    <row r="33" spans="1:9" ht="25.5">
      <c r="A33" s="172" t="s">
        <v>244</v>
      </c>
      <c r="B33" s="173" t="s">
        <v>223</v>
      </c>
      <c r="C33" s="174" t="s">
        <v>236</v>
      </c>
      <c r="D33" s="175" t="s">
        <v>225</v>
      </c>
      <c r="E33" s="174" t="s">
        <v>226</v>
      </c>
      <c r="F33" s="174" t="s">
        <v>227</v>
      </c>
      <c r="G33" s="174" t="s">
        <v>228</v>
      </c>
      <c r="H33" s="171"/>
    </row>
    <row r="34" spans="1:9">
      <c r="A34" s="177" t="s">
        <v>53</v>
      </c>
      <c r="B34" s="178" t="s">
        <v>237</v>
      </c>
      <c r="C34" s="179">
        <v>8.8889999999999998E-4</v>
      </c>
      <c r="D34" s="180">
        <f>D19</f>
        <v>7816.46</v>
      </c>
      <c r="E34" s="181"/>
      <c r="F34" s="181"/>
      <c r="G34" s="175">
        <f>D34*C34</f>
        <v>6.9480512939999999</v>
      </c>
      <c r="H34" s="171"/>
    </row>
    <row r="35" spans="1:9">
      <c r="A35" s="177" t="s">
        <v>230</v>
      </c>
      <c r="B35" s="178" t="s">
        <v>238</v>
      </c>
      <c r="C35" s="179">
        <v>4.4400000000000002E-5</v>
      </c>
      <c r="D35" s="180">
        <f>D20</f>
        <v>9704.58</v>
      </c>
      <c r="E35" s="181"/>
      <c r="F35" s="191"/>
      <c r="G35" s="175">
        <f>D35*C35</f>
        <v>0.430883352</v>
      </c>
      <c r="H35" s="187"/>
    </row>
    <row r="36" spans="1:9">
      <c r="A36" s="188" t="s">
        <v>232</v>
      </c>
      <c r="B36" s="189" t="s">
        <v>243</v>
      </c>
      <c r="C36" s="504"/>
      <c r="D36" s="504"/>
      <c r="E36" s="504"/>
      <c r="F36" s="504"/>
      <c r="G36" s="185">
        <f>SUM(G34:G35)</f>
        <v>7.3789346460000003</v>
      </c>
      <c r="H36" s="171"/>
    </row>
    <row r="37" spans="1:9">
      <c r="A37" s="502"/>
      <c r="B37" s="502"/>
      <c r="C37" s="502"/>
      <c r="D37" s="502"/>
      <c r="E37" s="502"/>
      <c r="F37" s="502"/>
      <c r="G37" s="502"/>
      <c r="H37" s="171"/>
    </row>
    <row r="38" spans="1:9" ht="25.5">
      <c r="A38" s="172" t="s">
        <v>245</v>
      </c>
      <c r="B38" s="173" t="s">
        <v>223</v>
      </c>
      <c r="C38" s="174" t="s">
        <v>236</v>
      </c>
      <c r="D38" s="175" t="s">
        <v>225</v>
      </c>
      <c r="E38" s="174" t="s">
        <v>226</v>
      </c>
      <c r="F38" s="174" t="s">
        <v>227</v>
      </c>
      <c r="G38" s="174" t="s">
        <v>228</v>
      </c>
      <c r="H38" s="171"/>
    </row>
    <row r="39" spans="1:9">
      <c r="A39" s="177" t="s">
        <v>53</v>
      </c>
      <c r="B39" s="178" t="s">
        <v>237</v>
      </c>
      <c r="C39" s="179">
        <v>8.8889999999999998E-4</v>
      </c>
      <c r="D39" s="180">
        <f>D34</f>
        <v>7816.46</v>
      </c>
      <c r="E39" s="181"/>
      <c r="F39" s="192"/>
      <c r="G39" s="175">
        <f>D39*C39</f>
        <v>6.9480512939999999</v>
      </c>
      <c r="H39" s="171"/>
    </row>
    <row r="40" spans="1:9">
      <c r="A40" s="177" t="s">
        <v>230</v>
      </c>
      <c r="B40" s="178" t="s">
        <v>238</v>
      </c>
      <c r="C40" s="179">
        <v>4.4400000000000002E-5</v>
      </c>
      <c r="D40" s="180">
        <f>D35</f>
        <v>9704.58</v>
      </c>
      <c r="E40" s="181"/>
      <c r="F40" s="192"/>
      <c r="G40" s="175">
        <f>D40*C40</f>
        <v>0.430883352</v>
      </c>
      <c r="H40" s="171"/>
    </row>
    <row r="41" spans="1:9">
      <c r="A41" s="188" t="s">
        <v>232</v>
      </c>
      <c r="B41" s="189" t="s">
        <v>243</v>
      </c>
      <c r="C41" s="504"/>
      <c r="D41" s="504"/>
      <c r="E41" s="504"/>
      <c r="F41" s="504"/>
      <c r="G41" s="185">
        <f>SUM(G39:G40)</f>
        <v>7.3789346460000003</v>
      </c>
      <c r="H41" s="171"/>
      <c r="I41" s="193"/>
    </row>
    <row r="42" spans="1:9">
      <c r="A42" s="502"/>
      <c r="B42" s="502"/>
      <c r="C42" s="502"/>
      <c r="D42" s="502"/>
      <c r="E42" s="502"/>
      <c r="F42" s="502"/>
      <c r="G42" s="502"/>
      <c r="H42" s="171"/>
    </row>
    <row r="43" spans="1:9" ht="25.5">
      <c r="A43" s="194" t="s">
        <v>291</v>
      </c>
      <c r="B43" s="195" t="s">
        <v>223</v>
      </c>
      <c r="C43" s="196" t="s">
        <v>224</v>
      </c>
      <c r="D43" s="197" t="s">
        <v>225</v>
      </c>
      <c r="E43" s="196" t="s">
        <v>226</v>
      </c>
      <c r="F43" s="196" t="s">
        <v>246</v>
      </c>
      <c r="G43" s="196" t="s">
        <v>228</v>
      </c>
      <c r="H43" s="198"/>
      <c r="I43" s="199"/>
    </row>
    <row r="44" spans="1:9">
      <c r="A44" s="200" t="s">
        <v>53</v>
      </c>
      <c r="B44" s="201" t="s">
        <v>247</v>
      </c>
      <c r="C44" s="202">
        <v>5.9239999999999998E-4</v>
      </c>
      <c r="D44" s="203">
        <f>[1]RESUMO!C6</f>
        <v>3494.93</v>
      </c>
      <c r="E44" s="204">
        <f>D44/173.81</f>
        <v>20.107761348599045</v>
      </c>
      <c r="F44" s="205">
        <v>17.399999999999999</v>
      </c>
      <c r="G44" s="197">
        <f>F44*E44*C44</f>
        <v>0.20726597811863529</v>
      </c>
      <c r="H44" s="198"/>
      <c r="I44" s="199"/>
    </row>
    <row r="45" spans="1:9">
      <c r="A45" s="200" t="s">
        <v>230</v>
      </c>
      <c r="B45" s="201" t="s">
        <v>248</v>
      </c>
      <c r="C45" s="202">
        <v>2.9600000000000001E-5</v>
      </c>
      <c r="D45" s="203">
        <f>[1]RESUMO!C10</f>
        <v>4232.68</v>
      </c>
      <c r="E45" s="204">
        <f>D45/173.81</f>
        <v>24.352338760715725</v>
      </c>
      <c r="F45" s="205">
        <v>17.399999999999999</v>
      </c>
      <c r="G45" s="197">
        <f>F45*E45*C45</f>
        <v>1.2542428555319026E-2</v>
      </c>
      <c r="H45" s="198"/>
      <c r="I45" s="199"/>
    </row>
    <row r="46" spans="1:9">
      <c r="A46" s="206" t="s">
        <v>232</v>
      </c>
      <c r="B46" s="207" t="s">
        <v>243</v>
      </c>
      <c r="C46" s="506"/>
      <c r="D46" s="506"/>
      <c r="E46" s="506"/>
      <c r="F46" s="506"/>
      <c r="G46" s="208">
        <f>SUM(G44:G45)</f>
        <v>0.21980840667395432</v>
      </c>
      <c r="H46" s="198"/>
      <c r="I46" s="199"/>
    </row>
    <row r="47" spans="1:9">
      <c r="A47" s="503"/>
      <c r="B47" s="503"/>
      <c r="C47" s="503"/>
      <c r="D47" s="503"/>
      <c r="E47" s="503"/>
      <c r="F47" s="503"/>
      <c r="G47" s="503"/>
      <c r="H47" s="209"/>
      <c r="I47" s="136"/>
    </row>
    <row r="48" spans="1:9" ht="25.5">
      <c r="A48" s="194" t="s">
        <v>249</v>
      </c>
      <c r="B48" s="195" t="s">
        <v>223</v>
      </c>
      <c r="C48" s="196" t="s">
        <v>236</v>
      </c>
      <c r="D48" s="197" t="s">
        <v>225</v>
      </c>
      <c r="E48" s="196" t="s">
        <v>250</v>
      </c>
      <c r="F48" s="196" t="s">
        <v>246</v>
      </c>
      <c r="G48" s="196" t="s">
        <v>228</v>
      </c>
      <c r="H48" s="210"/>
      <c r="I48" s="199"/>
    </row>
    <row r="49" spans="1:9">
      <c r="A49" s="200" t="s">
        <v>53</v>
      </c>
      <c r="B49" s="211" t="s">
        <v>251</v>
      </c>
      <c r="C49" s="202">
        <v>3.949E-4</v>
      </c>
      <c r="D49" s="212">
        <f>D39</f>
        <v>7816.46</v>
      </c>
      <c r="E49" s="204">
        <f>D49/365</f>
        <v>21.414958904109589</v>
      </c>
      <c r="F49" s="213">
        <v>26.1</v>
      </c>
      <c r="G49" s="197">
        <f>F49*E49*C49</f>
        <v>0.22072162577917812</v>
      </c>
      <c r="H49" s="210"/>
      <c r="I49" s="199"/>
    </row>
    <row r="50" spans="1:9">
      <c r="A50" s="200" t="s">
        <v>230</v>
      </c>
      <c r="B50" s="201" t="s">
        <v>252</v>
      </c>
      <c r="C50" s="202">
        <v>1.9700000000000001E-5</v>
      </c>
      <c r="D50" s="212">
        <f>D40</f>
        <v>9704.58</v>
      </c>
      <c r="E50" s="204">
        <f>D50/365</f>
        <v>26.587890410958902</v>
      </c>
      <c r="F50" s="213">
        <v>26.1</v>
      </c>
      <c r="G50" s="197">
        <f>F50*E50*C50</f>
        <v>1.3670695612602739E-2</v>
      </c>
      <c r="H50" s="214"/>
      <c r="I50" s="199"/>
    </row>
    <row r="51" spans="1:9">
      <c r="A51" s="206" t="s">
        <v>232</v>
      </c>
      <c r="B51" s="215"/>
      <c r="C51" s="216"/>
      <c r="D51" s="212"/>
      <c r="E51" s="217"/>
      <c r="F51" s="217"/>
      <c r="G51" s="208">
        <f>SUM(G49:G50)</f>
        <v>0.23439232139178084</v>
      </c>
      <c r="H51" s="214"/>
      <c r="I51" s="199"/>
    </row>
    <row r="52" spans="1:9">
      <c r="A52" s="503"/>
      <c r="B52" s="503"/>
      <c r="C52" s="503"/>
      <c r="D52" s="503"/>
      <c r="E52" s="503"/>
      <c r="F52" s="503"/>
      <c r="G52" s="503"/>
      <c r="H52" s="209"/>
      <c r="I52" s="136"/>
    </row>
    <row r="53" spans="1:9" ht="25.5">
      <c r="A53" s="218" t="s">
        <v>253</v>
      </c>
      <c r="B53" s="195" t="s">
        <v>223</v>
      </c>
      <c r="C53" s="196" t="s">
        <v>224</v>
      </c>
      <c r="D53" s="197" t="s">
        <v>225</v>
      </c>
      <c r="E53" s="196" t="s">
        <v>250</v>
      </c>
      <c r="F53" s="196" t="s">
        <v>246</v>
      </c>
      <c r="G53" s="196" t="s">
        <v>228</v>
      </c>
      <c r="H53" s="214"/>
      <c r="I53" s="199"/>
    </row>
    <row r="54" spans="1:9">
      <c r="A54" s="200" t="s">
        <v>53</v>
      </c>
      <c r="B54" s="201" t="s">
        <v>254</v>
      </c>
      <c r="C54" s="202">
        <v>6.667E-4</v>
      </c>
      <c r="D54" s="219">
        <f>D44</f>
        <v>3494.93</v>
      </c>
      <c r="E54" s="204">
        <f>D54/173.81</f>
        <v>20.107761348599045</v>
      </c>
      <c r="F54" s="205">
        <v>17.399999999999999</v>
      </c>
      <c r="G54" s="197">
        <f>F54*E54*C54</f>
        <v>0.2332616941453311</v>
      </c>
      <c r="H54" s="214"/>
      <c r="I54" s="199"/>
    </row>
    <row r="55" spans="1:9">
      <c r="A55" s="200" t="s">
        <v>230</v>
      </c>
      <c r="B55" s="201" t="s">
        <v>255</v>
      </c>
      <c r="C55" s="202">
        <v>3.3300000000000003E-5</v>
      </c>
      <c r="D55" s="203">
        <f>D45</f>
        <v>4232.68</v>
      </c>
      <c r="E55" s="204">
        <f>D55/173.81</f>
        <v>24.352338760715725</v>
      </c>
      <c r="F55" s="205">
        <v>17.399999999999999</v>
      </c>
      <c r="G55" s="197">
        <f>F55*E55*C55</f>
        <v>1.4110232124733906E-2</v>
      </c>
      <c r="H55" s="220"/>
      <c r="I55" s="199"/>
    </row>
    <row r="56" spans="1:9">
      <c r="A56" s="206" t="s">
        <v>232</v>
      </c>
      <c r="B56" s="221"/>
      <c r="C56" s="222"/>
      <c r="D56" s="219"/>
      <c r="E56" s="223"/>
      <c r="F56" s="223"/>
      <c r="G56" s="208">
        <f>SUM(G54:G55)</f>
        <v>0.24737192627006502</v>
      </c>
      <c r="H56" s="220"/>
      <c r="I56" s="199"/>
    </row>
    <row r="57" spans="1:9">
      <c r="A57" s="502"/>
      <c r="B57" s="502"/>
      <c r="C57" s="502"/>
      <c r="D57" s="502"/>
      <c r="E57" s="502"/>
      <c r="F57" s="502"/>
      <c r="G57" s="502"/>
      <c r="H57" s="171"/>
    </row>
    <row r="58" spans="1:9" ht="25.5">
      <c r="A58" s="224" t="s">
        <v>256</v>
      </c>
      <c r="B58" s="173" t="s">
        <v>223</v>
      </c>
      <c r="C58" s="174" t="s">
        <v>236</v>
      </c>
      <c r="D58" s="175" t="s">
        <v>225</v>
      </c>
      <c r="E58" s="174" t="s">
        <v>250</v>
      </c>
      <c r="F58" s="174" t="s">
        <v>227</v>
      </c>
      <c r="G58" s="174" t="s">
        <v>228</v>
      </c>
      <c r="H58" s="225"/>
    </row>
    <row r="59" spans="1:9">
      <c r="A59" s="177" t="s">
        <v>53</v>
      </c>
      <c r="B59" s="178" t="s">
        <v>254</v>
      </c>
      <c r="C59" s="179">
        <v>6.667E-4</v>
      </c>
      <c r="D59" s="226">
        <f>D49</f>
        <v>7816.46</v>
      </c>
      <c r="E59" s="181"/>
      <c r="F59" s="227"/>
      <c r="G59" s="175">
        <f>D59*C59</f>
        <v>5.2112338820000002</v>
      </c>
      <c r="H59" s="225"/>
    </row>
    <row r="60" spans="1:9">
      <c r="A60" s="177" t="s">
        <v>230</v>
      </c>
      <c r="B60" s="178" t="s">
        <v>255</v>
      </c>
      <c r="C60" s="179">
        <v>3.3300000000000003E-5</v>
      </c>
      <c r="D60" s="180">
        <f>D50</f>
        <v>9704.58</v>
      </c>
      <c r="E60" s="181"/>
      <c r="F60" s="227"/>
      <c r="G60" s="175">
        <f>D60*C60</f>
        <v>0.32316251400000001</v>
      </c>
      <c r="H60" s="225"/>
    </row>
    <row r="61" spans="1:9">
      <c r="A61" s="188" t="s">
        <v>232</v>
      </c>
      <c r="B61" s="228"/>
      <c r="C61" s="229"/>
      <c r="D61" s="226"/>
      <c r="E61" s="230"/>
      <c r="F61" s="230"/>
      <c r="G61" s="185">
        <f>SUM(G59:G60)</f>
        <v>5.534396396</v>
      </c>
      <c r="H61" s="225"/>
    </row>
    <row r="62" spans="1:9">
      <c r="A62" s="502"/>
      <c r="B62" s="502"/>
      <c r="C62" s="502"/>
      <c r="D62" s="502"/>
      <c r="E62" s="502"/>
      <c r="F62" s="502"/>
      <c r="G62" s="502"/>
      <c r="H62" s="225"/>
    </row>
    <row r="63" spans="1:9" ht="25.5">
      <c r="A63" s="231" t="s">
        <v>257</v>
      </c>
      <c r="B63" s="195" t="s">
        <v>223</v>
      </c>
      <c r="C63" s="196" t="s">
        <v>224</v>
      </c>
      <c r="D63" s="197" t="s">
        <v>225</v>
      </c>
      <c r="E63" s="196" t="s">
        <v>250</v>
      </c>
      <c r="F63" s="196" t="s">
        <v>258</v>
      </c>
      <c r="G63" s="196" t="s">
        <v>228</v>
      </c>
      <c r="H63" s="214"/>
      <c r="I63" s="199"/>
    </row>
    <row r="64" spans="1:9">
      <c r="A64" s="200" t="s">
        <v>53</v>
      </c>
      <c r="B64" s="201" t="s">
        <v>254</v>
      </c>
      <c r="C64" s="202">
        <v>6.667E-4</v>
      </c>
      <c r="D64" s="219">
        <f>D54</f>
        <v>3494.93</v>
      </c>
      <c r="E64" s="204">
        <f>D64/173.81</f>
        <v>20.107761348599045</v>
      </c>
      <c r="F64" s="232">
        <v>34.799999999999997</v>
      </c>
      <c r="G64" s="197">
        <f>F64*E64*C64</f>
        <v>0.4665233882906622</v>
      </c>
      <c r="H64" s="214"/>
      <c r="I64" s="199"/>
    </row>
    <row r="65" spans="1:9">
      <c r="A65" s="200" t="s">
        <v>230</v>
      </c>
      <c r="B65" s="201" t="s">
        <v>255</v>
      </c>
      <c r="C65" s="202">
        <v>3.3300000000000003E-5</v>
      </c>
      <c r="D65" s="203">
        <f>D55</f>
        <v>4232.68</v>
      </c>
      <c r="E65" s="204">
        <f>D65/173.81</f>
        <v>24.352338760715725</v>
      </c>
      <c r="F65" s="232">
        <v>34.799999999999997</v>
      </c>
      <c r="G65" s="197">
        <f>F65*E65*C65</f>
        <v>2.8220464249467812E-2</v>
      </c>
      <c r="H65" s="214"/>
      <c r="I65" s="199"/>
    </row>
    <row r="66" spans="1:9">
      <c r="A66" s="206" t="s">
        <v>232</v>
      </c>
      <c r="B66" s="221"/>
      <c r="C66" s="222"/>
      <c r="D66" s="219"/>
      <c r="E66" s="223"/>
      <c r="F66" s="223"/>
      <c r="G66" s="208">
        <f>SUM(G64:G65)</f>
        <v>0.49474385254013004</v>
      </c>
      <c r="H66" s="214"/>
      <c r="I66" s="199"/>
    </row>
    <row r="67" spans="1:9">
      <c r="A67" s="503"/>
      <c r="B67" s="503"/>
      <c r="C67" s="503"/>
      <c r="D67" s="503"/>
      <c r="E67" s="503"/>
      <c r="F67" s="503"/>
      <c r="G67" s="503"/>
      <c r="H67" s="233"/>
      <c r="I67" s="136"/>
    </row>
    <row r="68" spans="1:9" ht="25.5">
      <c r="A68" s="218" t="s">
        <v>259</v>
      </c>
      <c r="B68" s="195" t="s">
        <v>223</v>
      </c>
      <c r="C68" s="196" t="s">
        <v>236</v>
      </c>
      <c r="D68" s="197" t="s">
        <v>225</v>
      </c>
      <c r="E68" s="196" t="s">
        <v>250</v>
      </c>
      <c r="F68" s="196" t="s">
        <v>227</v>
      </c>
      <c r="G68" s="196" t="s">
        <v>228</v>
      </c>
      <c r="H68" s="214"/>
      <c r="I68" s="199"/>
    </row>
    <row r="69" spans="1:9">
      <c r="A69" s="200" t="s">
        <v>53</v>
      </c>
      <c r="B69" s="211" t="s">
        <v>260</v>
      </c>
      <c r="C69" s="234">
        <f>1/2250</f>
        <v>4.4444444444444447E-4</v>
      </c>
      <c r="D69" s="219">
        <f>D59</f>
        <v>7816.46</v>
      </c>
      <c r="E69" s="204">
        <f>D69/365</f>
        <v>21.414958904109589</v>
      </c>
      <c r="F69" s="232">
        <v>52.1</v>
      </c>
      <c r="G69" s="197">
        <f>F69*E69*C69</f>
        <v>0.49587527062404874</v>
      </c>
      <c r="H69" s="214"/>
      <c r="I69" s="199"/>
    </row>
    <row r="70" spans="1:9">
      <c r="A70" s="200" t="s">
        <v>230</v>
      </c>
      <c r="B70" s="201" t="s">
        <v>261</v>
      </c>
      <c r="C70" s="234">
        <f>1/20/2250</f>
        <v>2.2222222222222223E-5</v>
      </c>
      <c r="D70" s="203">
        <f>D60</f>
        <v>9704.58</v>
      </c>
      <c r="E70" s="204">
        <f>D70/365</f>
        <v>26.587890410958902</v>
      </c>
      <c r="F70" s="232">
        <v>52.1</v>
      </c>
      <c r="G70" s="197">
        <f>F70*E70*C70</f>
        <v>3.0782868675799088E-2</v>
      </c>
      <c r="H70" s="214"/>
      <c r="I70" s="199"/>
    </row>
    <row r="71" spans="1:9">
      <c r="A71" s="206" t="s">
        <v>232</v>
      </c>
      <c r="B71" s="221"/>
      <c r="C71" s="222"/>
      <c r="D71" s="219"/>
      <c r="E71" s="223"/>
      <c r="F71" s="223"/>
      <c r="G71" s="208">
        <f>SUM(G69:G70)</f>
        <v>0.52665813929984784</v>
      </c>
      <c r="H71" s="214"/>
      <c r="I71" s="199"/>
    </row>
    <row r="72" spans="1:9">
      <c r="A72" s="502"/>
      <c r="B72" s="502"/>
      <c r="C72" s="502"/>
      <c r="D72" s="502"/>
      <c r="E72" s="502"/>
      <c r="F72" s="502"/>
      <c r="G72" s="502"/>
      <c r="H72" s="225"/>
    </row>
    <row r="73" spans="1:9" ht="25.5">
      <c r="A73" s="231" t="s">
        <v>262</v>
      </c>
      <c r="B73" s="195" t="s">
        <v>223</v>
      </c>
      <c r="C73" s="196" t="s">
        <v>236</v>
      </c>
      <c r="D73" s="197" t="s">
        <v>225</v>
      </c>
      <c r="E73" s="196" t="s">
        <v>250</v>
      </c>
      <c r="F73" s="196" t="s">
        <v>263</v>
      </c>
      <c r="G73" s="196" t="s">
        <v>228</v>
      </c>
      <c r="H73" s="214"/>
      <c r="I73" s="199"/>
    </row>
    <row r="74" spans="1:9">
      <c r="A74" s="200" t="s">
        <v>53</v>
      </c>
      <c r="B74" s="211" t="s">
        <v>260</v>
      </c>
      <c r="C74" s="234">
        <f>1/2250</f>
        <v>4.4444444444444447E-4</v>
      </c>
      <c r="D74" s="219">
        <f>D69</f>
        <v>7816.46</v>
      </c>
      <c r="E74" s="204">
        <f>D74/365</f>
        <v>21.414958904109589</v>
      </c>
      <c r="F74" s="205">
        <v>1</v>
      </c>
      <c r="G74" s="197">
        <f>F74*E74*C74</f>
        <v>9.5177595129375958E-3</v>
      </c>
      <c r="H74" s="214"/>
      <c r="I74" s="199"/>
    </row>
    <row r="75" spans="1:9">
      <c r="A75" s="200" t="s">
        <v>230</v>
      </c>
      <c r="B75" s="201" t="s">
        <v>261</v>
      </c>
      <c r="C75" s="234">
        <f>1/20/2250</f>
        <v>2.2222222222222223E-5</v>
      </c>
      <c r="D75" s="203">
        <f>D70</f>
        <v>9704.58</v>
      </c>
      <c r="E75" s="204">
        <f>D75/365</f>
        <v>26.587890410958902</v>
      </c>
      <c r="F75" s="205">
        <v>1</v>
      </c>
      <c r="G75" s="235">
        <f>F75*E75*C75</f>
        <v>5.9084200913242003E-4</v>
      </c>
      <c r="H75" s="214"/>
      <c r="I75" s="199"/>
    </row>
    <row r="76" spans="1:9">
      <c r="A76" s="206" t="s">
        <v>232</v>
      </c>
      <c r="B76" s="221"/>
      <c r="C76" s="222"/>
      <c r="D76" s="219"/>
      <c r="E76" s="223"/>
      <c r="F76" s="223"/>
      <c r="G76" s="236">
        <f>SUM(G74:G75)</f>
        <v>1.0108601522070016E-2</v>
      </c>
      <c r="H76" s="214"/>
      <c r="I76" s="199"/>
    </row>
    <row r="77" spans="1:9">
      <c r="A77" s="237"/>
      <c r="B77" s="237"/>
      <c r="C77" s="237"/>
      <c r="D77" s="237"/>
      <c r="E77" s="237"/>
      <c r="F77" s="237"/>
      <c r="G77" s="237"/>
      <c r="H77" s="225"/>
    </row>
    <row r="78" spans="1:9" ht="25.5">
      <c r="A78" s="238" t="s">
        <v>264</v>
      </c>
      <c r="B78" s="173" t="s">
        <v>223</v>
      </c>
      <c r="C78" s="174" t="s">
        <v>236</v>
      </c>
      <c r="D78" s="175" t="s">
        <v>225</v>
      </c>
      <c r="E78" s="174" t="s">
        <v>250</v>
      </c>
      <c r="F78" s="174" t="s">
        <v>227</v>
      </c>
      <c r="G78" s="174" t="s">
        <v>228</v>
      </c>
      <c r="H78" s="225"/>
    </row>
    <row r="79" spans="1:9">
      <c r="A79" s="177" t="s">
        <v>53</v>
      </c>
      <c r="B79" s="239" t="s">
        <v>260</v>
      </c>
      <c r="C79" s="240">
        <v>4.4443999999999999E-4</v>
      </c>
      <c r="D79" s="226">
        <f>D59</f>
        <v>7816.46</v>
      </c>
      <c r="E79" s="181"/>
      <c r="F79" s="241"/>
      <c r="G79" s="175">
        <f>D79*C79</f>
        <v>3.4739474823999998</v>
      </c>
      <c r="H79" s="225"/>
    </row>
    <row r="80" spans="1:9">
      <c r="A80" s="177" t="s">
        <v>230</v>
      </c>
      <c r="B80" s="178" t="s">
        <v>265</v>
      </c>
      <c r="C80" s="240">
        <v>2.2220000000000001E-5</v>
      </c>
      <c r="D80" s="180">
        <f>D60</f>
        <v>9704.58</v>
      </c>
      <c r="E80" s="181"/>
      <c r="F80" s="241"/>
      <c r="G80" s="175">
        <f>D80*C80</f>
        <v>0.2156357676</v>
      </c>
      <c r="H80" s="225"/>
    </row>
    <row r="81" spans="1:8">
      <c r="A81" s="188" t="s">
        <v>232</v>
      </c>
      <c r="B81" s="228"/>
      <c r="C81" s="229"/>
      <c r="D81" s="226"/>
      <c r="E81" s="230"/>
      <c r="F81" s="230"/>
      <c r="G81" s="185">
        <f>SUM(G79:G80)</f>
        <v>3.6895832499999996</v>
      </c>
      <c r="H81" s="225"/>
    </row>
    <row r="82" spans="1:8">
      <c r="A82" s="237"/>
      <c r="B82" s="237"/>
      <c r="C82" s="237"/>
      <c r="D82" s="237"/>
      <c r="E82" s="237"/>
      <c r="F82" s="237"/>
      <c r="G82" s="237"/>
      <c r="H82" s="225"/>
    </row>
    <row r="83" spans="1:8" ht="25.5">
      <c r="A83" s="238" t="s">
        <v>266</v>
      </c>
      <c r="B83" s="173" t="s">
        <v>223</v>
      </c>
      <c r="C83" s="174" t="s">
        <v>224</v>
      </c>
      <c r="D83" s="175" t="s">
        <v>225</v>
      </c>
      <c r="E83" s="174" t="s">
        <v>250</v>
      </c>
      <c r="F83" s="174" t="s">
        <v>227</v>
      </c>
      <c r="G83" s="174" t="s">
        <v>228</v>
      </c>
      <c r="H83" s="225"/>
    </row>
    <row r="84" spans="1:8">
      <c r="A84" s="177" t="s">
        <v>53</v>
      </c>
      <c r="B84" s="178" t="s">
        <v>267</v>
      </c>
      <c r="C84" s="240">
        <f>1/125000</f>
        <v>7.9999999999999996E-6</v>
      </c>
      <c r="D84" s="226">
        <f>D29</f>
        <v>3494.93</v>
      </c>
      <c r="E84" s="181"/>
      <c r="F84" s="241"/>
      <c r="G84" s="175">
        <f>D84*C84</f>
        <v>2.7959439999999999E-2</v>
      </c>
      <c r="H84" s="225"/>
    </row>
    <row r="85" spans="1:8">
      <c r="A85" s="177" t="s">
        <v>230</v>
      </c>
      <c r="B85" s="178" t="s">
        <v>268</v>
      </c>
      <c r="C85" s="240">
        <f>1/20/125000</f>
        <v>4.0000000000000003E-7</v>
      </c>
      <c r="D85" s="180">
        <f>D30</f>
        <v>4232.68</v>
      </c>
      <c r="E85" s="181"/>
      <c r="F85" s="241"/>
      <c r="G85" s="175">
        <f>D85*C85</f>
        <v>1.6930720000000003E-3</v>
      </c>
      <c r="H85" s="225"/>
    </row>
    <row r="86" spans="1:8">
      <c r="A86" s="188" t="s">
        <v>232</v>
      </c>
      <c r="B86" s="228"/>
      <c r="C86" s="229"/>
      <c r="D86" s="226"/>
      <c r="E86" s="230"/>
      <c r="F86" s="230"/>
      <c r="G86" s="185">
        <f>SUM(G84:G85)</f>
        <v>2.9652511999999999E-2</v>
      </c>
      <c r="H86" s="225"/>
    </row>
    <row r="87" spans="1:8">
      <c r="A87" s="237"/>
      <c r="B87" s="237"/>
      <c r="C87" s="237"/>
      <c r="D87" s="237"/>
      <c r="E87" s="237"/>
      <c r="F87" s="237"/>
      <c r="G87" s="237"/>
      <c r="H87" s="225"/>
    </row>
    <row r="88" spans="1:8" ht="25.5">
      <c r="A88" s="238" t="s">
        <v>269</v>
      </c>
      <c r="B88" s="173" t="s">
        <v>223</v>
      </c>
      <c r="C88" s="174" t="s">
        <v>236</v>
      </c>
      <c r="D88" s="175" t="s">
        <v>225</v>
      </c>
      <c r="E88" s="174" t="s">
        <v>250</v>
      </c>
      <c r="F88" s="174" t="s">
        <v>227</v>
      </c>
      <c r="G88" s="174" t="s">
        <v>228</v>
      </c>
      <c r="H88" s="225"/>
    </row>
    <row r="89" spans="1:8">
      <c r="A89" s="177" t="s">
        <v>53</v>
      </c>
      <c r="B89" s="178" t="s">
        <v>270</v>
      </c>
      <c r="C89" s="240">
        <f>1/187500</f>
        <v>5.3333333333333337E-6</v>
      </c>
      <c r="D89" s="226">
        <f>D79</f>
        <v>7816.46</v>
      </c>
      <c r="E89" s="181"/>
      <c r="F89" s="241"/>
      <c r="G89" s="175">
        <f>D89*C89</f>
        <v>4.1687786666666671E-2</v>
      </c>
      <c r="H89" s="225"/>
    </row>
    <row r="90" spans="1:8">
      <c r="A90" s="177" t="s">
        <v>230</v>
      </c>
      <c r="B90" s="178" t="s">
        <v>271</v>
      </c>
      <c r="C90" s="240">
        <f>1/20/187500</f>
        <v>2.6666666666666667E-7</v>
      </c>
      <c r="D90" s="180">
        <f>D80</f>
        <v>9704.58</v>
      </c>
      <c r="E90" s="181"/>
      <c r="F90" s="241"/>
      <c r="G90" s="175">
        <f>D90*C90</f>
        <v>2.587888E-3</v>
      </c>
      <c r="H90" s="225"/>
    </row>
    <row r="91" spans="1:8">
      <c r="A91" s="188" t="s">
        <v>232</v>
      </c>
      <c r="B91" s="228"/>
      <c r="C91" s="229"/>
      <c r="D91" s="226"/>
      <c r="E91" s="230"/>
      <c r="F91" s="230"/>
      <c r="G91" s="242">
        <f>SUM(G89:G90)</f>
        <v>4.4275674666666667E-2</v>
      </c>
      <c r="H91" s="225"/>
    </row>
    <row r="92" spans="1:8">
      <c r="A92" s="237"/>
      <c r="B92" s="237"/>
      <c r="C92" s="237"/>
      <c r="D92" s="237"/>
      <c r="E92" s="237"/>
      <c r="F92" s="237"/>
      <c r="G92" s="237"/>
      <c r="H92" s="225"/>
    </row>
    <row r="93" spans="1:8" ht="25.5">
      <c r="A93" s="224" t="s">
        <v>272</v>
      </c>
      <c r="B93" s="173" t="s">
        <v>223</v>
      </c>
      <c r="C93" s="174" t="s">
        <v>224</v>
      </c>
      <c r="D93" s="175" t="s">
        <v>225</v>
      </c>
      <c r="E93" s="174" t="s">
        <v>250</v>
      </c>
      <c r="F93" s="174" t="s">
        <v>273</v>
      </c>
      <c r="G93" s="174" t="s">
        <v>228</v>
      </c>
      <c r="H93" s="225"/>
    </row>
    <row r="94" spans="1:8">
      <c r="A94" s="177" t="s">
        <v>53</v>
      </c>
      <c r="B94" s="178" t="s">
        <v>274</v>
      </c>
      <c r="C94" s="240">
        <f>1/275</f>
        <v>3.6363636363636364E-3</v>
      </c>
      <c r="D94" s="226">
        <f>[1]RESUMO!C7</f>
        <v>3551.21</v>
      </c>
      <c r="E94" s="181">
        <f>D94/173.81</f>
        <v>20.43156320119671</v>
      </c>
      <c r="F94" s="241">
        <v>2.67</v>
      </c>
      <c r="G94" s="175">
        <f>F94*E94*C94</f>
        <v>0.19837190453525533</v>
      </c>
      <c r="H94" s="225"/>
    </row>
    <row r="95" spans="1:8">
      <c r="A95" s="177" t="s">
        <v>230</v>
      </c>
      <c r="B95" s="178" t="s">
        <v>275</v>
      </c>
      <c r="C95" s="240">
        <f>1/4/275</f>
        <v>9.0909090909090909E-4</v>
      </c>
      <c r="D95" s="180">
        <f>[1]RESUMO!C11</f>
        <v>4921.16</v>
      </c>
      <c r="E95" s="181">
        <f>D95/173.81</f>
        <v>28.313445716587076</v>
      </c>
      <c r="F95" s="241">
        <v>2.67</v>
      </c>
      <c r="G95" s="175">
        <f>F95*E95*C95</f>
        <v>6.8724454602988636E-2</v>
      </c>
      <c r="H95" s="225"/>
    </row>
    <row r="96" spans="1:8">
      <c r="A96" s="188" t="s">
        <v>232</v>
      </c>
      <c r="B96" s="228"/>
      <c r="C96" s="229"/>
      <c r="D96" s="226"/>
      <c r="E96" s="230"/>
      <c r="F96" s="230"/>
      <c r="G96" s="185">
        <f>SUM(G94:G95)</f>
        <v>0.26709635913824398</v>
      </c>
      <c r="H96" s="225"/>
    </row>
    <row r="97" spans="1:8">
      <c r="A97" s="237"/>
      <c r="B97" s="237"/>
      <c r="C97" s="237"/>
      <c r="D97" s="237"/>
      <c r="E97" s="237"/>
      <c r="F97" s="237"/>
      <c r="G97" s="237"/>
      <c r="H97" s="225"/>
    </row>
    <row r="98" spans="1:8" ht="25.5">
      <c r="A98" s="224" t="s">
        <v>276</v>
      </c>
      <c r="B98" s="173" t="s">
        <v>223</v>
      </c>
      <c r="C98" s="174" t="s">
        <v>236</v>
      </c>
      <c r="D98" s="175" t="s">
        <v>225</v>
      </c>
      <c r="E98" s="174" t="s">
        <v>250</v>
      </c>
      <c r="F98" s="174" t="s">
        <v>273</v>
      </c>
      <c r="G98" s="174" t="s">
        <v>228</v>
      </c>
      <c r="H98" s="225"/>
    </row>
    <row r="99" spans="1:8">
      <c r="A99" s="177" t="s">
        <v>53</v>
      </c>
      <c r="B99" s="178" t="s">
        <v>277</v>
      </c>
      <c r="C99" s="240">
        <f>1/412.5</f>
        <v>2.4242424242424242E-3</v>
      </c>
      <c r="D99" s="226">
        <f>[1]RESUMO!C9</f>
        <v>7954.16</v>
      </c>
      <c r="E99" s="181">
        <f>D99/365</f>
        <v>21.792219178082192</v>
      </c>
      <c r="F99" s="243">
        <v>4</v>
      </c>
      <c r="G99" s="175">
        <f>F99*E99*C99</f>
        <v>0.21131848899958489</v>
      </c>
      <c r="H99" s="225"/>
    </row>
    <row r="100" spans="1:8">
      <c r="A100" s="177" t="s">
        <v>230</v>
      </c>
      <c r="B100" s="178" t="s">
        <v>278</v>
      </c>
      <c r="C100" s="240">
        <f>1/4/412.5</f>
        <v>6.0606060606060606E-4</v>
      </c>
      <c r="D100" s="180">
        <f>D90</f>
        <v>9704.58</v>
      </c>
      <c r="E100" s="181">
        <f>D100/365</f>
        <v>26.587890410958902</v>
      </c>
      <c r="F100" s="243">
        <v>4</v>
      </c>
      <c r="G100" s="175">
        <f>F100*E100*C100</f>
        <v>6.445549190535492E-2</v>
      </c>
      <c r="H100" s="225"/>
    </row>
    <row r="101" spans="1:8">
      <c r="A101" s="188" t="s">
        <v>232</v>
      </c>
      <c r="B101" s="228"/>
      <c r="C101" s="229"/>
      <c r="D101" s="226"/>
      <c r="E101" s="230"/>
      <c r="F101" s="230"/>
      <c r="G101" s="185">
        <f>SUM(G99:G100)</f>
        <v>0.27577398090493982</v>
      </c>
      <c r="H101" s="225"/>
    </row>
    <row r="102" spans="1:8">
      <c r="A102" s="502"/>
      <c r="B102" s="502"/>
      <c r="C102" s="502"/>
      <c r="D102" s="502"/>
      <c r="E102" s="502"/>
      <c r="F102" s="502"/>
      <c r="G102" s="502"/>
      <c r="H102" s="225"/>
    </row>
    <row r="103" spans="1:8" ht="25.5">
      <c r="A103" s="224" t="s">
        <v>279</v>
      </c>
      <c r="B103" s="173" t="s">
        <v>223</v>
      </c>
      <c r="C103" s="174" t="s">
        <v>224</v>
      </c>
      <c r="D103" s="175" t="s">
        <v>225</v>
      </c>
      <c r="E103" s="174" t="s">
        <v>250</v>
      </c>
      <c r="F103" s="174" t="s">
        <v>273</v>
      </c>
      <c r="G103" s="174" t="s">
        <v>228</v>
      </c>
      <c r="H103" s="225"/>
    </row>
    <row r="104" spans="1:8">
      <c r="A104" s="177" t="s">
        <v>53</v>
      </c>
      <c r="B104" s="178" t="s">
        <v>280</v>
      </c>
      <c r="C104" s="240">
        <f>1/138</f>
        <v>7.246376811594203E-3</v>
      </c>
      <c r="D104" s="226">
        <f>D94</f>
        <v>3551.21</v>
      </c>
      <c r="E104" s="181">
        <f>D104/173.81</f>
        <v>20.43156320119671</v>
      </c>
      <c r="F104" s="241">
        <v>2.67</v>
      </c>
      <c r="G104" s="175">
        <f>F104*E104*C104</f>
        <v>0.39530633150141459</v>
      </c>
      <c r="H104" s="225"/>
    </row>
    <row r="105" spans="1:8">
      <c r="A105" s="177" t="s">
        <v>230</v>
      </c>
      <c r="B105" s="178" t="s">
        <v>281</v>
      </c>
      <c r="C105" s="240">
        <f>1/4/138</f>
        <v>1.8115942028985507E-3</v>
      </c>
      <c r="D105" s="180">
        <f>D95</f>
        <v>4921.16</v>
      </c>
      <c r="E105" s="181">
        <f>D105/173.81</f>
        <v>28.313445716587076</v>
      </c>
      <c r="F105" s="241">
        <v>2.67</v>
      </c>
      <c r="G105" s="175">
        <f>F105*E105*C105</f>
        <v>0.13695090591175271</v>
      </c>
      <c r="H105" s="225"/>
    </row>
    <row r="106" spans="1:8">
      <c r="A106" s="188" t="s">
        <v>232</v>
      </c>
      <c r="B106" s="228"/>
      <c r="C106" s="229"/>
      <c r="D106" s="226"/>
      <c r="E106" s="230"/>
      <c r="F106" s="230"/>
      <c r="G106" s="185">
        <f>SUM(G104:G105)</f>
        <v>0.53225723741316733</v>
      </c>
      <c r="H106" s="225"/>
    </row>
    <row r="107" spans="1:8">
      <c r="A107" s="502"/>
      <c r="B107" s="502"/>
      <c r="C107" s="502"/>
      <c r="D107" s="502"/>
      <c r="E107" s="502"/>
      <c r="F107" s="502"/>
      <c r="G107" s="502"/>
      <c r="H107" s="225"/>
    </row>
    <row r="108" spans="1:8" ht="25.5">
      <c r="A108" s="224" t="s">
        <v>282</v>
      </c>
      <c r="B108" s="173" t="s">
        <v>223</v>
      </c>
      <c r="C108" s="174" t="s">
        <v>236</v>
      </c>
      <c r="D108" s="175" t="s">
        <v>225</v>
      </c>
      <c r="E108" s="174" t="s">
        <v>250</v>
      </c>
      <c r="F108" s="174" t="s">
        <v>273</v>
      </c>
      <c r="G108" s="174" t="s">
        <v>228</v>
      </c>
      <c r="H108" s="225"/>
    </row>
    <row r="109" spans="1:8">
      <c r="A109" s="177" t="s">
        <v>53</v>
      </c>
      <c r="B109" s="178" t="s">
        <v>283</v>
      </c>
      <c r="C109" s="240">
        <f>1/207</f>
        <v>4.830917874396135E-3</v>
      </c>
      <c r="D109" s="226">
        <f>D99</f>
        <v>7954.16</v>
      </c>
      <c r="E109" s="181">
        <f>D109/365</f>
        <v>21.792219178082192</v>
      </c>
      <c r="F109" s="227">
        <v>4</v>
      </c>
      <c r="G109" s="175">
        <f>F109*E109*C109</f>
        <v>0.42110568460062203</v>
      </c>
      <c r="H109" s="225"/>
    </row>
    <row r="110" spans="1:8">
      <c r="A110" s="177" t="s">
        <v>230</v>
      </c>
      <c r="B110" s="178" t="s">
        <v>284</v>
      </c>
      <c r="C110" s="240">
        <f>1/4/207</f>
        <v>1.2077294685990338E-3</v>
      </c>
      <c r="D110" s="180">
        <f>D100</f>
        <v>9704.58</v>
      </c>
      <c r="E110" s="181">
        <f>D110/365</f>
        <v>26.587890410958902</v>
      </c>
      <c r="F110" s="227">
        <v>4</v>
      </c>
      <c r="G110" s="175">
        <f>F110*E110*C110</f>
        <v>0.12844391502878696</v>
      </c>
      <c r="H110" s="225"/>
    </row>
    <row r="111" spans="1:8">
      <c r="A111" s="188" t="s">
        <v>232</v>
      </c>
      <c r="B111" s="228"/>
      <c r="C111" s="229"/>
      <c r="D111" s="226"/>
      <c r="E111" s="230"/>
      <c r="F111" s="230"/>
      <c r="G111" s="185">
        <f>SUM(G109:G110)</f>
        <v>0.54954959962940897</v>
      </c>
      <c r="H111" s="225"/>
    </row>
    <row r="112" spans="1:8">
      <c r="A112" s="502"/>
      <c r="B112" s="502"/>
      <c r="C112" s="502"/>
      <c r="D112" s="502"/>
      <c r="E112" s="502"/>
      <c r="F112" s="502"/>
      <c r="G112" s="502"/>
      <c r="H112" s="225"/>
    </row>
    <row r="113" spans="1:8">
      <c r="A113" s="244"/>
      <c r="B113" s="245"/>
      <c r="C113" s="245"/>
      <c r="D113" s="245"/>
      <c r="E113" s="245"/>
      <c r="F113" s="245"/>
      <c r="G113" s="246"/>
      <c r="H113" s="225"/>
    </row>
    <row r="114" spans="1:8">
      <c r="A114" s="247"/>
      <c r="B114" s="248"/>
      <c r="C114" s="249"/>
      <c r="D114" s="250"/>
      <c r="E114" s="249"/>
      <c r="F114" s="249"/>
      <c r="G114" s="246"/>
    </row>
    <row r="115" spans="1:8">
      <c r="A115" s="247" t="s">
        <v>285</v>
      </c>
      <c r="B115" s="248"/>
      <c r="C115" s="249"/>
      <c r="D115" s="250"/>
      <c r="E115" s="249"/>
      <c r="F115" s="249"/>
      <c r="G115" s="246"/>
    </row>
    <row r="116" spans="1:8">
      <c r="A116" s="249" t="s">
        <v>286</v>
      </c>
      <c r="B116" s="225">
        <v>52.14</v>
      </c>
      <c r="C116" s="251"/>
      <c r="D116" s="170"/>
      <c r="E116" s="109"/>
      <c r="F116" s="252"/>
      <c r="G116" s="109"/>
    </row>
    <row r="117" spans="1:8">
      <c r="A117" s="249" t="s">
        <v>287</v>
      </c>
      <c r="B117" s="225">
        <v>4.3499999999999996</v>
      </c>
      <c r="C117" s="251"/>
      <c r="D117" s="253"/>
      <c r="E117" s="109"/>
      <c r="F117" s="252"/>
      <c r="G117" s="109"/>
    </row>
    <row r="118" spans="1:8">
      <c r="A118" s="249" t="s">
        <v>288</v>
      </c>
      <c r="B118" s="254">
        <v>173.81</v>
      </c>
      <c r="C118" s="255"/>
      <c r="D118" s="253"/>
      <c r="E118" s="109"/>
      <c r="F118" s="252"/>
      <c r="G118" s="109"/>
    </row>
    <row r="119" spans="1:8">
      <c r="A119" s="249" t="s">
        <v>289</v>
      </c>
      <c r="B119" s="254">
        <v>191.19</v>
      </c>
      <c r="C119" s="255"/>
      <c r="D119" s="253"/>
      <c r="E119" s="109"/>
      <c r="F119" s="252"/>
      <c r="G119" s="109"/>
    </row>
    <row r="120" spans="1:8">
      <c r="A120" s="249" t="s">
        <v>290</v>
      </c>
      <c r="B120" s="254">
        <v>182.5</v>
      </c>
      <c r="C120" s="255"/>
      <c r="D120" s="253"/>
      <c r="E120" s="109"/>
      <c r="F120" s="252"/>
      <c r="G120" s="109"/>
    </row>
  </sheetData>
  <mergeCells count="26">
    <mergeCell ref="A17:G17"/>
    <mergeCell ref="A1:G1"/>
    <mergeCell ref="A2:G2"/>
    <mergeCell ref="A7:G7"/>
    <mergeCell ref="A12:G12"/>
    <mergeCell ref="C16:F16"/>
    <mergeCell ref="A47:G47"/>
    <mergeCell ref="C21:F21"/>
    <mergeCell ref="A22:G22"/>
    <mergeCell ref="C26:F26"/>
    <mergeCell ref="A27:G27"/>
    <mergeCell ref="C31:F31"/>
    <mergeCell ref="A32:G32"/>
    <mergeCell ref="C36:F36"/>
    <mergeCell ref="A37:G37"/>
    <mergeCell ref="C41:F41"/>
    <mergeCell ref="A42:G42"/>
    <mergeCell ref="C46:F46"/>
    <mergeCell ref="A107:G107"/>
    <mergeCell ref="A112:G112"/>
    <mergeCell ref="A52:G52"/>
    <mergeCell ref="A57:G57"/>
    <mergeCell ref="A62:G62"/>
    <mergeCell ref="A67:G67"/>
    <mergeCell ref="A72:G72"/>
    <mergeCell ref="A102:G10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workbookViewId="0">
      <selection activeCell="J17" sqref="J17"/>
    </sheetView>
  </sheetViews>
  <sheetFormatPr defaultRowHeight="15"/>
  <cols>
    <col min="1" max="2" width="15.7109375" style="259" customWidth="1"/>
    <col min="3" max="4" width="11.7109375" style="259" customWidth="1"/>
    <col min="5" max="5" width="12" style="259" customWidth="1"/>
    <col min="6" max="6" width="12.7109375" style="259" customWidth="1"/>
    <col min="7" max="9" width="15.7109375" style="259" customWidth="1"/>
    <col min="10" max="15" width="9.140625" style="259"/>
  </cols>
  <sheetData>
    <row r="1" spans="1:9">
      <c r="A1" s="257"/>
      <c r="B1" s="257"/>
      <c r="C1" s="257"/>
      <c r="D1" s="257"/>
      <c r="E1" s="257"/>
      <c r="F1" s="257"/>
      <c r="G1" s="257"/>
      <c r="H1" s="257"/>
      <c r="I1" s="258" t="s">
        <v>292</v>
      </c>
    </row>
    <row r="2" spans="1:9" ht="26.25">
      <c r="A2" s="508" t="s">
        <v>293</v>
      </c>
      <c r="B2" s="508"/>
      <c r="C2" s="508"/>
      <c r="D2" s="508"/>
      <c r="E2" s="508"/>
      <c r="F2" s="508"/>
      <c r="G2" s="508"/>
      <c r="H2" s="508"/>
      <c r="I2" s="508"/>
    </row>
    <row r="3" spans="1:9">
      <c r="A3" s="509" t="s">
        <v>294</v>
      </c>
      <c r="B3" s="509"/>
      <c r="C3" s="509"/>
      <c r="D3" s="509"/>
      <c r="E3" s="509"/>
      <c r="F3" s="509"/>
      <c r="G3" s="509"/>
      <c r="H3" s="509"/>
      <c r="I3" s="509"/>
    </row>
    <row r="4" spans="1:9">
      <c r="A4" s="509" t="s">
        <v>295</v>
      </c>
      <c r="B4" s="509"/>
      <c r="C4" s="509"/>
      <c r="D4" s="509"/>
      <c r="E4" s="509"/>
      <c r="F4" s="509"/>
      <c r="G4" s="509"/>
      <c r="H4" s="509"/>
      <c r="I4" s="509"/>
    </row>
    <row r="5" spans="1:9">
      <c r="A5" s="257"/>
      <c r="B5" s="257"/>
      <c r="C5" s="257"/>
      <c r="D5" s="257"/>
      <c r="E5" s="257"/>
      <c r="F5" s="257"/>
      <c r="G5" s="257"/>
      <c r="H5" s="257"/>
      <c r="I5" s="257"/>
    </row>
    <row r="6" spans="1:9">
      <c r="A6" s="510" t="s">
        <v>296</v>
      </c>
      <c r="B6" s="511"/>
      <c r="C6" s="511"/>
      <c r="D6" s="511"/>
      <c r="E6" s="511"/>
      <c r="F6" s="511"/>
      <c r="G6" s="511"/>
      <c r="H6" s="511"/>
      <c r="I6" s="512"/>
    </row>
    <row r="7" spans="1:9">
      <c r="A7" s="513" t="s">
        <v>297</v>
      </c>
      <c r="B7" s="514"/>
      <c r="C7" s="517" t="s">
        <v>298</v>
      </c>
      <c r="D7" s="518"/>
      <c r="E7" s="517" t="s">
        <v>299</v>
      </c>
      <c r="F7" s="518"/>
      <c r="G7" s="517" t="s">
        <v>300</v>
      </c>
      <c r="H7" s="519"/>
      <c r="I7" s="518"/>
    </row>
    <row r="8" spans="1:9">
      <c r="A8" s="513"/>
      <c r="B8" s="514"/>
      <c r="C8" s="517" t="s">
        <v>301</v>
      </c>
      <c r="D8" s="518"/>
      <c r="E8" s="517" t="s">
        <v>302</v>
      </c>
      <c r="F8" s="518"/>
      <c r="G8" s="517" t="s">
        <v>303</v>
      </c>
      <c r="H8" s="519"/>
      <c r="I8" s="518"/>
    </row>
    <row r="9" spans="1:9">
      <c r="A9" s="515"/>
      <c r="B9" s="516"/>
      <c r="C9" s="517" t="s">
        <v>304</v>
      </c>
      <c r="D9" s="518"/>
      <c r="E9" s="530" t="s">
        <v>305</v>
      </c>
      <c r="F9" s="531"/>
      <c r="G9" s="530" t="s">
        <v>306</v>
      </c>
      <c r="H9" s="532"/>
      <c r="I9" s="531"/>
    </row>
    <row r="10" spans="1:9">
      <c r="A10" s="533" t="s">
        <v>307</v>
      </c>
      <c r="B10" s="536" t="s">
        <v>308</v>
      </c>
      <c r="C10" s="520">
        <v>1</v>
      </c>
      <c r="D10" s="521"/>
      <c r="E10" s="537">
        <v>0</v>
      </c>
      <c r="F10" s="538"/>
      <c r="G10" s="523">
        <f>ROUND(E10*(C10/(C11*D11)),2)</f>
        <v>0</v>
      </c>
      <c r="H10" s="523"/>
      <c r="I10" s="523"/>
    </row>
    <row r="11" spans="1:9">
      <c r="A11" s="534"/>
      <c r="B11" s="536"/>
      <c r="C11" s="260">
        <v>30</v>
      </c>
      <c r="D11" s="261">
        <f>[2]Produtividade!$E$3</f>
        <v>600</v>
      </c>
      <c r="E11" s="537"/>
      <c r="F11" s="538"/>
      <c r="G11" s="523"/>
      <c r="H11" s="523"/>
      <c r="I11" s="523"/>
    </row>
    <row r="12" spans="1:9">
      <c r="A12" s="534"/>
      <c r="B12" s="539" t="s">
        <v>309</v>
      </c>
      <c r="C12" s="520">
        <v>1</v>
      </c>
      <c r="D12" s="521"/>
      <c r="E12" s="522" t="e">
        <f>[2]Servente!$F$194</f>
        <v>#VALUE!</v>
      </c>
      <c r="F12" s="522"/>
      <c r="G12" s="523" t="e">
        <f>ROUND(E12*(C12/(C13)),2)</f>
        <v>#VALUE!</v>
      </c>
      <c r="H12" s="523"/>
      <c r="I12" s="523"/>
    </row>
    <row r="13" spans="1:9">
      <c r="A13" s="535"/>
      <c r="B13" s="539"/>
      <c r="C13" s="524">
        <f>D11</f>
        <v>600</v>
      </c>
      <c r="D13" s="525"/>
      <c r="E13" s="522"/>
      <c r="F13" s="522"/>
      <c r="G13" s="523"/>
      <c r="H13" s="523"/>
      <c r="I13" s="523"/>
    </row>
    <row r="14" spans="1:9">
      <c r="A14" s="526" t="s">
        <v>310</v>
      </c>
      <c r="B14" s="527"/>
      <c r="C14" s="527"/>
      <c r="D14" s="527"/>
      <c r="E14" s="527"/>
      <c r="F14" s="528"/>
      <c r="G14" s="529" t="e">
        <f>ROUND(SUM(G10:H13),2)</f>
        <v>#VALUE!</v>
      </c>
      <c r="H14" s="529"/>
      <c r="I14" s="529"/>
    </row>
    <row r="15" spans="1:9">
      <c r="A15" s="539" t="s">
        <v>311</v>
      </c>
      <c r="B15" s="539" t="s">
        <v>308</v>
      </c>
      <c r="C15" s="520">
        <v>1</v>
      </c>
      <c r="D15" s="521"/>
      <c r="E15" s="540">
        <f>E10</f>
        <v>0</v>
      </c>
      <c r="F15" s="540"/>
      <c r="G15" s="523">
        <f>ROUND(E15*(C15/(C16*D16)),2)</f>
        <v>0</v>
      </c>
      <c r="H15" s="523"/>
      <c r="I15" s="523"/>
    </row>
    <row r="16" spans="1:9">
      <c r="A16" s="539"/>
      <c r="B16" s="539"/>
      <c r="C16" s="260">
        <v>30</v>
      </c>
      <c r="D16" s="261">
        <f>[2]Produtividade!$E$4</f>
        <v>600</v>
      </c>
      <c r="E16" s="540"/>
      <c r="F16" s="540"/>
      <c r="G16" s="523"/>
      <c r="H16" s="523"/>
      <c r="I16" s="523"/>
    </row>
    <row r="17" spans="1:9">
      <c r="A17" s="539"/>
      <c r="B17" s="539" t="s">
        <v>309</v>
      </c>
      <c r="C17" s="520">
        <v>1</v>
      </c>
      <c r="D17" s="521"/>
      <c r="E17" s="540" t="e">
        <f>E12</f>
        <v>#VALUE!</v>
      </c>
      <c r="F17" s="540"/>
      <c r="G17" s="523" t="e">
        <f>ROUND(E17*(C17/(C18)),2)</f>
        <v>#VALUE!</v>
      </c>
      <c r="H17" s="523"/>
      <c r="I17" s="523"/>
    </row>
    <row r="18" spans="1:9">
      <c r="A18" s="539"/>
      <c r="B18" s="539"/>
      <c r="C18" s="524">
        <f>D16</f>
        <v>600</v>
      </c>
      <c r="D18" s="525"/>
      <c r="E18" s="540"/>
      <c r="F18" s="540"/>
      <c r="G18" s="523"/>
      <c r="H18" s="523"/>
      <c r="I18" s="523"/>
    </row>
    <row r="19" spans="1:9">
      <c r="A19" s="526" t="s">
        <v>310</v>
      </c>
      <c r="B19" s="527"/>
      <c r="C19" s="527"/>
      <c r="D19" s="527"/>
      <c r="E19" s="527"/>
      <c r="F19" s="528"/>
      <c r="G19" s="529" t="e">
        <f>ROUND(SUM(G15:H18),2)</f>
        <v>#VALUE!</v>
      </c>
      <c r="H19" s="529"/>
      <c r="I19" s="529"/>
    </row>
    <row r="20" spans="1:9">
      <c r="A20" s="539" t="s">
        <v>312</v>
      </c>
      <c r="B20" s="539" t="s">
        <v>308</v>
      </c>
      <c r="C20" s="520">
        <v>1</v>
      </c>
      <c r="D20" s="521"/>
      <c r="E20" s="540">
        <f>E15</f>
        <v>0</v>
      </c>
      <c r="F20" s="540"/>
      <c r="G20" s="523">
        <f>ROUND(E20*(C20/(C21*D21)),2)</f>
        <v>0</v>
      </c>
      <c r="H20" s="523"/>
      <c r="I20" s="523"/>
    </row>
    <row r="21" spans="1:9">
      <c r="A21" s="539"/>
      <c r="B21" s="539"/>
      <c r="C21" s="260">
        <v>30</v>
      </c>
      <c r="D21" s="261">
        <f>[2]Produtividade!$E$5</f>
        <v>330</v>
      </c>
      <c r="E21" s="540"/>
      <c r="F21" s="540"/>
      <c r="G21" s="523"/>
      <c r="H21" s="523"/>
      <c r="I21" s="523"/>
    </row>
    <row r="22" spans="1:9">
      <c r="A22" s="539"/>
      <c r="B22" s="539" t="s">
        <v>309</v>
      </c>
      <c r="C22" s="520">
        <v>1</v>
      </c>
      <c r="D22" s="521"/>
      <c r="E22" s="540" t="e">
        <f>E17</f>
        <v>#VALUE!</v>
      </c>
      <c r="F22" s="540"/>
      <c r="G22" s="523" t="e">
        <f>ROUND(E22*(C22/(C23)),2)</f>
        <v>#VALUE!</v>
      </c>
      <c r="H22" s="523"/>
      <c r="I22" s="523"/>
    </row>
    <row r="23" spans="1:9">
      <c r="A23" s="539"/>
      <c r="B23" s="539"/>
      <c r="C23" s="524">
        <f>D21</f>
        <v>330</v>
      </c>
      <c r="D23" s="541"/>
      <c r="E23" s="540"/>
      <c r="F23" s="540"/>
      <c r="G23" s="523"/>
      <c r="H23" s="523"/>
      <c r="I23" s="523"/>
    </row>
    <row r="24" spans="1:9">
      <c r="A24" s="526" t="s">
        <v>310</v>
      </c>
      <c r="B24" s="527"/>
      <c r="C24" s="527"/>
      <c r="D24" s="527"/>
      <c r="E24" s="527"/>
      <c r="F24" s="528"/>
      <c r="G24" s="529" t="e">
        <f>ROUND(SUM(G20:H23),2)</f>
        <v>#VALUE!</v>
      </c>
      <c r="H24" s="529"/>
      <c r="I24" s="529"/>
    </row>
    <row r="25" spans="1:9">
      <c r="A25" s="533" t="s">
        <v>313</v>
      </c>
      <c r="B25" s="539" t="s">
        <v>308</v>
      </c>
      <c r="C25" s="520">
        <v>1</v>
      </c>
      <c r="D25" s="521"/>
      <c r="E25" s="540">
        <f>E20</f>
        <v>0</v>
      </c>
      <c r="F25" s="540"/>
      <c r="G25" s="523">
        <f>ROUND(E25*(C25/(C26*D26)),2)</f>
        <v>0</v>
      </c>
      <c r="H25" s="523"/>
      <c r="I25" s="523"/>
    </row>
    <row r="26" spans="1:9">
      <c r="A26" s="534"/>
      <c r="B26" s="539"/>
      <c r="C26" s="260">
        <v>30</v>
      </c>
      <c r="D26" s="261">
        <f>[2]Produtividade!$E$6</f>
        <v>1350</v>
      </c>
      <c r="E26" s="540"/>
      <c r="F26" s="540"/>
      <c r="G26" s="523"/>
      <c r="H26" s="523"/>
      <c r="I26" s="523"/>
    </row>
    <row r="27" spans="1:9">
      <c r="A27" s="534"/>
      <c r="B27" s="539" t="s">
        <v>309</v>
      </c>
      <c r="C27" s="520">
        <v>1</v>
      </c>
      <c r="D27" s="521"/>
      <c r="E27" s="540" t="e">
        <f>E22</f>
        <v>#VALUE!</v>
      </c>
      <c r="F27" s="540"/>
      <c r="G27" s="523" t="e">
        <f>ROUND(E27*(C27/(C28)),2)</f>
        <v>#VALUE!</v>
      </c>
      <c r="H27" s="523"/>
      <c r="I27" s="523"/>
    </row>
    <row r="28" spans="1:9">
      <c r="A28" s="535"/>
      <c r="B28" s="539"/>
      <c r="C28" s="524">
        <f>D26</f>
        <v>1350</v>
      </c>
      <c r="D28" s="541"/>
      <c r="E28" s="540"/>
      <c r="F28" s="540"/>
      <c r="G28" s="523"/>
      <c r="H28" s="523"/>
      <c r="I28" s="523"/>
    </row>
    <row r="29" spans="1:9">
      <c r="A29" s="526" t="s">
        <v>310</v>
      </c>
      <c r="B29" s="527"/>
      <c r="C29" s="527"/>
      <c r="D29" s="527"/>
      <c r="E29" s="527"/>
      <c r="F29" s="528"/>
      <c r="G29" s="529" t="e">
        <f>ROUND(SUM(G25:H28),2)</f>
        <v>#VALUE!</v>
      </c>
      <c r="H29" s="529"/>
      <c r="I29" s="529"/>
    </row>
    <row r="30" spans="1:9">
      <c r="A30" s="533" t="s">
        <v>314</v>
      </c>
      <c r="B30" s="539" t="s">
        <v>308</v>
      </c>
      <c r="C30" s="520">
        <v>1</v>
      </c>
      <c r="D30" s="521"/>
      <c r="E30" s="540">
        <f>E25</f>
        <v>0</v>
      </c>
      <c r="F30" s="540"/>
      <c r="G30" s="523">
        <f>ROUND(E30*(C30/(C31*D31)),2)</f>
        <v>0</v>
      </c>
      <c r="H30" s="523"/>
      <c r="I30" s="523"/>
    </row>
    <row r="31" spans="1:9">
      <c r="A31" s="534"/>
      <c r="B31" s="539"/>
      <c r="C31" s="260">
        <v>30</v>
      </c>
      <c r="D31" s="261">
        <f>[2]Produtividade!$E$7</f>
        <v>1200</v>
      </c>
      <c r="E31" s="540"/>
      <c r="F31" s="540"/>
      <c r="G31" s="523"/>
      <c r="H31" s="523"/>
      <c r="I31" s="523"/>
    </row>
    <row r="32" spans="1:9">
      <c r="A32" s="534"/>
      <c r="B32" s="539" t="s">
        <v>309</v>
      </c>
      <c r="C32" s="520">
        <v>1</v>
      </c>
      <c r="D32" s="521"/>
      <c r="E32" s="540" t="e">
        <f>E27</f>
        <v>#VALUE!</v>
      </c>
      <c r="F32" s="540"/>
      <c r="G32" s="523" t="e">
        <f>ROUND(E32*(C32/(C33)),2)</f>
        <v>#VALUE!</v>
      </c>
      <c r="H32" s="523"/>
      <c r="I32" s="523"/>
    </row>
    <row r="33" spans="1:9">
      <c r="A33" s="535"/>
      <c r="B33" s="539"/>
      <c r="C33" s="524">
        <f>D31</f>
        <v>1200</v>
      </c>
      <c r="D33" s="541"/>
      <c r="E33" s="540"/>
      <c r="F33" s="540"/>
      <c r="G33" s="523"/>
      <c r="H33" s="523"/>
      <c r="I33" s="523"/>
    </row>
    <row r="34" spans="1:9">
      <c r="A34" s="526" t="s">
        <v>310</v>
      </c>
      <c r="B34" s="527"/>
      <c r="C34" s="527"/>
      <c r="D34" s="527"/>
      <c r="E34" s="527"/>
      <c r="F34" s="528"/>
      <c r="G34" s="529" t="e">
        <f>ROUND(SUM(G30:H33),2)</f>
        <v>#VALUE!</v>
      </c>
      <c r="H34" s="529"/>
      <c r="I34" s="529"/>
    </row>
    <row r="35" spans="1:9">
      <c r="A35" s="533" t="s">
        <v>315</v>
      </c>
      <c r="B35" s="539" t="s">
        <v>308</v>
      </c>
      <c r="C35" s="520">
        <v>1</v>
      </c>
      <c r="D35" s="521"/>
      <c r="E35" s="540">
        <f>E30</f>
        <v>0</v>
      </c>
      <c r="F35" s="540"/>
      <c r="G35" s="523">
        <f>ROUND(E35*(C35/(C36*D36)),2)</f>
        <v>0</v>
      </c>
      <c r="H35" s="523"/>
      <c r="I35" s="523"/>
    </row>
    <row r="36" spans="1:9">
      <c r="A36" s="534"/>
      <c r="B36" s="539"/>
      <c r="C36" s="260">
        <v>30</v>
      </c>
      <c r="D36" s="261">
        <f>[2]Produtividade!$E$8</f>
        <v>800</v>
      </c>
      <c r="E36" s="540"/>
      <c r="F36" s="540"/>
      <c r="G36" s="523"/>
      <c r="H36" s="523"/>
      <c r="I36" s="523"/>
    </row>
    <row r="37" spans="1:9">
      <c r="A37" s="534"/>
      <c r="B37" s="539" t="s">
        <v>309</v>
      </c>
      <c r="C37" s="520">
        <v>1</v>
      </c>
      <c r="D37" s="521"/>
      <c r="E37" s="540" t="e">
        <f>E32</f>
        <v>#VALUE!</v>
      </c>
      <c r="F37" s="540"/>
      <c r="G37" s="523" t="e">
        <f>ROUND(E37*(C37/(C38)),2)</f>
        <v>#VALUE!</v>
      </c>
      <c r="H37" s="523"/>
      <c r="I37" s="523"/>
    </row>
    <row r="38" spans="1:9">
      <c r="A38" s="535"/>
      <c r="B38" s="539"/>
      <c r="C38" s="524">
        <f>D36</f>
        <v>800</v>
      </c>
      <c r="D38" s="541"/>
      <c r="E38" s="540"/>
      <c r="F38" s="540"/>
      <c r="G38" s="523"/>
      <c r="H38" s="523"/>
      <c r="I38" s="523"/>
    </row>
    <row r="39" spans="1:9">
      <c r="A39" s="526" t="s">
        <v>310</v>
      </c>
      <c r="B39" s="527"/>
      <c r="C39" s="527"/>
      <c r="D39" s="527"/>
      <c r="E39" s="527"/>
      <c r="F39" s="528"/>
      <c r="G39" s="529" t="e">
        <f>ROUND(SUM(G35:H38),2)</f>
        <v>#VALUE!</v>
      </c>
      <c r="H39" s="529"/>
      <c r="I39" s="529"/>
    </row>
    <row r="40" spans="1:9">
      <c r="A40" s="257"/>
      <c r="B40" s="257"/>
      <c r="C40" s="257"/>
      <c r="D40" s="257"/>
      <c r="E40" s="257"/>
      <c r="F40" s="257"/>
      <c r="G40" s="257"/>
      <c r="H40" s="257"/>
      <c r="I40" s="257"/>
    </row>
    <row r="41" spans="1:9">
      <c r="A41" s="510" t="s">
        <v>316</v>
      </c>
      <c r="B41" s="511"/>
      <c r="C41" s="511"/>
      <c r="D41" s="511"/>
      <c r="E41" s="511"/>
      <c r="F41" s="511"/>
      <c r="G41" s="511"/>
      <c r="H41" s="511"/>
      <c r="I41" s="512"/>
    </row>
    <row r="42" spans="1:9">
      <c r="A42" s="513" t="s">
        <v>297</v>
      </c>
      <c r="B42" s="514"/>
      <c r="C42" s="517" t="s">
        <v>298</v>
      </c>
      <c r="D42" s="518"/>
      <c r="E42" s="517" t="s">
        <v>299</v>
      </c>
      <c r="F42" s="518"/>
      <c r="G42" s="517" t="s">
        <v>300</v>
      </c>
      <c r="H42" s="519"/>
      <c r="I42" s="518"/>
    </row>
    <row r="43" spans="1:9">
      <c r="A43" s="513"/>
      <c r="B43" s="514"/>
      <c r="C43" s="517" t="s">
        <v>301</v>
      </c>
      <c r="D43" s="518"/>
      <c r="E43" s="517" t="s">
        <v>302</v>
      </c>
      <c r="F43" s="518"/>
      <c r="G43" s="517" t="s">
        <v>303</v>
      </c>
      <c r="H43" s="519"/>
      <c r="I43" s="518"/>
    </row>
    <row r="44" spans="1:9">
      <c r="A44" s="515"/>
      <c r="B44" s="516"/>
      <c r="C44" s="530" t="s">
        <v>304</v>
      </c>
      <c r="D44" s="531"/>
      <c r="E44" s="530" t="s">
        <v>305</v>
      </c>
      <c r="F44" s="531"/>
      <c r="G44" s="530" t="s">
        <v>306</v>
      </c>
      <c r="H44" s="532"/>
      <c r="I44" s="531"/>
    </row>
    <row r="45" spans="1:9">
      <c r="A45" s="542" t="s">
        <v>317</v>
      </c>
      <c r="B45" s="539" t="s">
        <v>308</v>
      </c>
      <c r="C45" s="520">
        <v>1</v>
      </c>
      <c r="D45" s="521"/>
      <c r="E45" s="540">
        <f>E10</f>
        <v>0</v>
      </c>
      <c r="F45" s="540"/>
      <c r="G45" s="523">
        <f>ROUND(E45*(C45/(C46*D46)),2)</f>
        <v>0</v>
      </c>
      <c r="H45" s="523"/>
      <c r="I45" s="523"/>
    </row>
    <row r="46" spans="1:9">
      <c r="A46" s="543"/>
      <c r="B46" s="539"/>
      <c r="C46" s="260">
        <v>30</v>
      </c>
      <c r="D46" s="261">
        <f>[2]Produtividade!$E$9</f>
        <v>1200</v>
      </c>
      <c r="E46" s="540"/>
      <c r="F46" s="540"/>
      <c r="G46" s="523"/>
      <c r="H46" s="523"/>
      <c r="I46" s="523"/>
    </row>
    <row r="47" spans="1:9">
      <c r="A47" s="543"/>
      <c r="B47" s="539" t="s">
        <v>309</v>
      </c>
      <c r="C47" s="520">
        <v>1</v>
      </c>
      <c r="D47" s="521"/>
      <c r="E47" s="540" t="e">
        <f>E12</f>
        <v>#VALUE!</v>
      </c>
      <c r="F47" s="540"/>
      <c r="G47" s="523" t="e">
        <f>ROUND(E47*(C47/(C48)),2)</f>
        <v>#VALUE!</v>
      </c>
      <c r="H47" s="523"/>
      <c r="I47" s="523"/>
    </row>
    <row r="48" spans="1:9">
      <c r="A48" s="544"/>
      <c r="B48" s="539"/>
      <c r="C48" s="524">
        <f>D46</f>
        <v>1200</v>
      </c>
      <c r="D48" s="541"/>
      <c r="E48" s="540"/>
      <c r="F48" s="540"/>
      <c r="G48" s="523"/>
      <c r="H48" s="523"/>
      <c r="I48" s="523"/>
    </row>
    <row r="49" spans="1:9">
      <c r="A49" s="526" t="s">
        <v>310</v>
      </c>
      <c r="B49" s="527"/>
      <c r="C49" s="527"/>
      <c r="D49" s="527"/>
      <c r="E49" s="527"/>
      <c r="F49" s="528"/>
      <c r="G49" s="529" t="e">
        <f>ROUND(SUM(G45:H48),2)</f>
        <v>#VALUE!</v>
      </c>
      <c r="H49" s="529"/>
      <c r="I49" s="529"/>
    </row>
    <row r="50" spans="1:9">
      <c r="A50" s="533" t="s">
        <v>318</v>
      </c>
      <c r="B50" s="539" t="s">
        <v>308</v>
      </c>
      <c r="C50" s="520">
        <v>1</v>
      </c>
      <c r="D50" s="521"/>
      <c r="E50" s="540">
        <f>E15</f>
        <v>0</v>
      </c>
      <c r="F50" s="540"/>
      <c r="G50" s="523">
        <f>ROUND(E50*(C50/(C51*D51)),2)</f>
        <v>0</v>
      </c>
      <c r="H50" s="523"/>
      <c r="I50" s="523"/>
    </row>
    <row r="51" spans="1:9">
      <c r="A51" s="534"/>
      <c r="B51" s="539"/>
      <c r="C51" s="260">
        <v>30</v>
      </c>
      <c r="D51" s="261">
        <f>[2]Produtividade!$E$10</f>
        <v>6000</v>
      </c>
      <c r="E51" s="540"/>
      <c r="F51" s="540"/>
      <c r="G51" s="523"/>
      <c r="H51" s="523"/>
      <c r="I51" s="523"/>
    </row>
    <row r="52" spans="1:9">
      <c r="A52" s="534"/>
      <c r="B52" s="539" t="s">
        <v>309</v>
      </c>
      <c r="C52" s="520">
        <v>1</v>
      </c>
      <c r="D52" s="521"/>
      <c r="E52" s="540" t="e">
        <f>E17</f>
        <v>#VALUE!</v>
      </c>
      <c r="F52" s="540"/>
      <c r="G52" s="523" t="e">
        <f>ROUND(E52*(C52/(C53)),2)</f>
        <v>#VALUE!</v>
      </c>
      <c r="H52" s="523"/>
      <c r="I52" s="523"/>
    </row>
    <row r="53" spans="1:9">
      <c r="A53" s="535"/>
      <c r="B53" s="539"/>
      <c r="C53" s="524">
        <f>D51</f>
        <v>6000</v>
      </c>
      <c r="D53" s="541"/>
      <c r="E53" s="540"/>
      <c r="F53" s="540"/>
      <c r="G53" s="523"/>
      <c r="H53" s="523"/>
      <c r="I53" s="523"/>
    </row>
    <row r="54" spans="1:9">
      <c r="A54" s="526" t="s">
        <v>310</v>
      </c>
      <c r="B54" s="527"/>
      <c r="C54" s="527"/>
      <c r="D54" s="527"/>
      <c r="E54" s="527"/>
      <c r="F54" s="528"/>
      <c r="G54" s="529" t="e">
        <f>ROUND(SUM(G50:H53),2)</f>
        <v>#VALUE!</v>
      </c>
      <c r="H54" s="529"/>
      <c r="I54" s="529"/>
    </row>
    <row r="55" spans="1:9">
      <c r="A55" s="533" t="s">
        <v>319</v>
      </c>
      <c r="B55" s="539" t="s">
        <v>308</v>
      </c>
      <c r="C55" s="520">
        <v>1</v>
      </c>
      <c r="D55" s="521"/>
      <c r="E55" s="540">
        <f>E20</f>
        <v>0</v>
      </c>
      <c r="F55" s="540"/>
      <c r="G55" s="523">
        <f>ROUND(E55*(C55/(C56*D56)),2)</f>
        <v>0</v>
      </c>
      <c r="H55" s="523"/>
      <c r="I55" s="523"/>
    </row>
    <row r="56" spans="1:9">
      <c r="A56" s="534"/>
      <c r="B56" s="539"/>
      <c r="C56" s="260">
        <v>30</v>
      </c>
      <c r="D56" s="261">
        <f>[2]Produtividade!$E$11</f>
        <v>1200</v>
      </c>
      <c r="E56" s="540"/>
      <c r="F56" s="540"/>
      <c r="G56" s="523"/>
      <c r="H56" s="523"/>
      <c r="I56" s="523"/>
    </row>
    <row r="57" spans="1:9">
      <c r="A57" s="534"/>
      <c r="B57" s="539" t="s">
        <v>309</v>
      </c>
      <c r="C57" s="520">
        <v>1</v>
      </c>
      <c r="D57" s="521"/>
      <c r="E57" s="540" t="e">
        <f>E22</f>
        <v>#VALUE!</v>
      </c>
      <c r="F57" s="540"/>
      <c r="G57" s="523" t="e">
        <f>ROUND(E57*(C57/(C58)),2)</f>
        <v>#VALUE!</v>
      </c>
      <c r="H57" s="523"/>
      <c r="I57" s="523"/>
    </row>
    <row r="58" spans="1:9">
      <c r="A58" s="535"/>
      <c r="B58" s="539"/>
      <c r="C58" s="524">
        <f>D56</f>
        <v>1200</v>
      </c>
      <c r="D58" s="541"/>
      <c r="E58" s="540"/>
      <c r="F58" s="540"/>
      <c r="G58" s="523"/>
      <c r="H58" s="523"/>
      <c r="I58" s="523"/>
    </row>
    <row r="59" spans="1:9">
      <c r="A59" s="526" t="s">
        <v>310</v>
      </c>
      <c r="B59" s="527"/>
      <c r="C59" s="527"/>
      <c r="D59" s="527"/>
      <c r="E59" s="527"/>
      <c r="F59" s="528"/>
      <c r="G59" s="529" t="e">
        <f>ROUND(SUM(G55:H58),2)</f>
        <v>#VALUE!</v>
      </c>
      <c r="H59" s="529"/>
      <c r="I59" s="529"/>
    </row>
    <row r="60" spans="1:9">
      <c r="A60" s="533" t="s">
        <v>320</v>
      </c>
      <c r="B60" s="539" t="s">
        <v>308</v>
      </c>
      <c r="C60" s="520">
        <v>1</v>
      </c>
      <c r="D60" s="521"/>
      <c r="E60" s="540">
        <f>E25</f>
        <v>0</v>
      </c>
      <c r="F60" s="540"/>
      <c r="G60" s="523">
        <f>ROUND(E60*(C60/(C61*D61)),2)</f>
        <v>0</v>
      </c>
      <c r="H60" s="523"/>
      <c r="I60" s="523"/>
    </row>
    <row r="61" spans="1:9">
      <c r="A61" s="534"/>
      <c r="B61" s="539"/>
      <c r="C61" s="260">
        <v>30</v>
      </c>
      <c r="D61" s="261">
        <f>[2]Produtividade!$E$12</f>
        <v>1200</v>
      </c>
      <c r="E61" s="540"/>
      <c r="F61" s="540"/>
      <c r="G61" s="523"/>
      <c r="H61" s="523"/>
      <c r="I61" s="523"/>
    </row>
    <row r="62" spans="1:9">
      <c r="A62" s="534"/>
      <c r="B62" s="539" t="s">
        <v>309</v>
      </c>
      <c r="C62" s="520">
        <v>1</v>
      </c>
      <c r="D62" s="521"/>
      <c r="E62" s="540" t="e">
        <f>E27</f>
        <v>#VALUE!</v>
      </c>
      <c r="F62" s="540"/>
      <c r="G62" s="523" t="e">
        <f>ROUND(E62*(C62/(C63)),2)</f>
        <v>#VALUE!</v>
      </c>
      <c r="H62" s="523"/>
      <c r="I62" s="523"/>
    </row>
    <row r="63" spans="1:9">
      <c r="A63" s="535"/>
      <c r="B63" s="539"/>
      <c r="C63" s="524">
        <f>D61</f>
        <v>1200</v>
      </c>
      <c r="D63" s="541"/>
      <c r="E63" s="540"/>
      <c r="F63" s="540"/>
      <c r="G63" s="523"/>
      <c r="H63" s="523"/>
      <c r="I63" s="523"/>
    </row>
    <row r="64" spans="1:9">
      <c r="A64" s="526" t="s">
        <v>310</v>
      </c>
      <c r="B64" s="527"/>
      <c r="C64" s="527"/>
      <c r="D64" s="527"/>
      <c r="E64" s="527"/>
      <c r="F64" s="528"/>
      <c r="G64" s="529" t="e">
        <f>ROUND(SUM(G60:H63),2)</f>
        <v>#VALUE!</v>
      </c>
      <c r="H64" s="529"/>
      <c r="I64" s="529"/>
    </row>
    <row r="65" spans="1:9">
      <c r="A65" s="533" t="s">
        <v>321</v>
      </c>
      <c r="B65" s="539" t="s">
        <v>308</v>
      </c>
      <c r="C65" s="520">
        <v>1</v>
      </c>
      <c r="D65" s="521"/>
      <c r="E65" s="540">
        <f>E25</f>
        <v>0</v>
      </c>
      <c r="F65" s="540"/>
      <c r="G65" s="523">
        <f>ROUND(E65*(C65/(C66*D66)),2)</f>
        <v>0</v>
      </c>
      <c r="H65" s="523"/>
      <c r="I65" s="523"/>
    </row>
    <row r="66" spans="1:9">
      <c r="A66" s="534"/>
      <c r="B66" s="539"/>
      <c r="C66" s="260">
        <v>30</v>
      </c>
      <c r="D66" s="261">
        <f>[2]Produtividade!$E$13</f>
        <v>1200</v>
      </c>
      <c r="E66" s="540"/>
      <c r="F66" s="540"/>
      <c r="G66" s="523"/>
      <c r="H66" s="523"/>
      <c r="I66" s="523"/>
    </row>
    <row r="67" spans="1:9">
      <c r="A67" s="534"/>
      <c r="B67" s="539" t="s">
        <v>309</v>
      </c>
      <c r="C67" s="520">
        <v>1</v>
      </c>
      <c r="D67" s="521"/>
      <c r="E67" s="540" t="e">
        <f>E27</f>
        <v>#VALUE!</v>
      </c>
      <c r="F67" s="540"/>
      <c r="G67" s="523" t="e">
        <f>ROUND(E67*(C67/(C68)),2)</f>
        <v>#VALUE!</v>
      </c>
      <c r="H67" s="523"/>
      <c r="I67" s="523"/>
    </row>
    <row r="68" spans="1:9">
      <c r="A68" s="535"/>
      <c r="B68" s="539"/>
      <c r="C68" s="524">
        <f>D66</f>
        <v>1200</v>
      </c>
      <c r="D68" s="541"/>
      <c r="E68" s="540"/>
      <c r="F68" s="540"/>
      <c r="G68" s="523"/>
      <c r="H68" s="523"/>
      <c r="I68" s="523"/>
    </row>
    <row r="69" spans="1:9">
      <c r="A69" s="526" t="s">
        <v>310</v>
      </c>
      <c r="B69" s="527"/>
      <c r="C69" s="527"/>
      <c r="D69" s="527"/>
      <c r="E69" s="527"/>
      <c r="F69" s="528"/>
      <c r="G69" s="529" t="e">
        <f>ROUND(SUM(G65:H68),2)</f>
        <v>#VALUE!</v>
      </c>
      <c r="H69" s="529"/>
      <c r="I69" s="529"/>
    </row>
    <row r="70" spans="1:9">
      <c r="A70" s="545" t="s">
        <v>322</v>
      </c>
      <c r="B70" s="539" t="s">
        <v>308</v>
      </c>
      <c r="C70" s="520">
        <v>1</v>
      </c>
      <c r="D70" s="521"/>
      <c r="E70" s="540">
        <f>E30</f>
        <v>0</v>
      </c>
      <c r="F70" s="540"/>
      <c r="G70" s="523">
        <f>ROUND(E70*(C70/(C71*D71)),2)</f>
        <v>0</v>
      </c>
      <c r="H70" s="523"/>
      <c r="I70" s="523"/>
    </row>
    <row r="71" spans="1:9">
      <c r="A71" s="546"/>
      <c r="B71" s="539"/>
      <c r="C71" s="260">
        <v>30</v>
      </c>
      <c r="D71" s="261">
        <f>[2]Produtividade!$E$14</f>
        <v>100000</v>
      </c>
      <c r="E71" s="540"/>
      <c r="F71" s="540"/>
      <c r="G71" s="523"/>
      <c r="H71" s="523"/>
      <c r="I71" s="523"/>
    </row>
    <row r="72" spans="1:9">
      <c r="A72" s="546"/>
      <c r="B72" s="539" t="s">
        <v>309</v>
      </c>
      <c r="C72" s="520">
        <v>1</v>
      </c>
      <c r="D72" s="521"/>
      <c r="E72" s="540" t="e">
        <f>E32</f>
        <v>#VALUE!</v>
      </c>
      <c r="F72" s="540"/>
      <c r="G72" s="523" t="e">
        <f>ROUND(E72*(C72/(C73)),2)</f>
        <v>#VALUE!</v>
      </c>
      <c r="H72" s="523"/>
      <c r="I72" s="523"/>
    </row>
    <row r="73" spans="1:9">
      <c r="A73" s="547"/>
      <c r="B73" s="539"/>
      <c r="C73" s="524">
        <f>D71</f>
        <v>100000</v>
      </c>
      <c r="D73" s="541"/>
      <c r="E73" s="540"/>
      <c r="F73" s="540"/>
      <c r="G73" s="523"/>
      <c r="H73" s="523"/>
      <c r="I73" s="523"/>
    </row>
    <row r="74" spans="1:9">
      <c r="A74" s="526" t="s">
        <v>310</v>
      </c>
      <c r="B74" s="527"/>
      <c r="C74" s="527"/>
      <c r="D74" s="527"/>
      <c r="E74" s="527"/>
      <c r="F74" s="528"/>
      <c r="G74" s="529" t="e">
        <f>ROUND(SUM(G70:H73),2)</f>
        <v>#VALUE!</v>
      </c>
      <c r="H74" s="529"/>
      <c r="I74" s="529"/>
    </row>
    <row r="75" spans="1:9">
      <c r="A75" s="257"/>
      <c r="B75" s="257"/>
      <c r="C75" s="257"/>
      <c r="D75" s="257"/>
      <c r="E75" s="257"/>
      <c r="F75" s="257"/>
      <c r="G75" s="257"/>
      <c r="H75" s="257"/>
      <c r="I75" s="258" t="s">
        <v>323</v>
      </c>
    </row>
    <row r="76" spans="1:9" ht="26.25">
      <c r="A76" s="551" t="s">
        <v>293</v>
      </c>
      <c r="B76" s="551"/>
      <c r="C76" s="551"/>
      <c r="D76" s="551"/>
      <c r="E76" s="551"/>
      <c r="F76" s="551"/>
      <c r="G76" s="551"/>
      <c r="H76" s="551"/>
      <c r="I76" s="551"/>
    </row>
    <row r="77" spans="1:9">
      <c r="A77" s="509" t="s">
        <v>294</v>
      </c>
      <c r="B77" s="509"/>
      <c r="C77" s="509"/>
      <c r="D77" s="509"/>
      <c r="E77" s="509"/>
      <c r="F77" s="509"/>
      <c r="G77" s="509"/>
      <c r="H77" s="509"/>
      <c r="I77" s="509"/>
    </row>
    <row r="78" spans="1:9">
      <c r="A78" s="509" t="s">
        <v>295</v>
      </c>
      <c r="B78" s="509"/>
      <c r="C78" s="509"/>
      <c r="D78" s="509"/>
      <c r="E78" s="509"/>
      <c r="F78" s="509"/>
      <c r="G78" s="509"/>
      <c r="H78" s="509"/>
      <c r="I78" s="509"/>
    </row>
    <row r="79" spans="1:9">
      <c r="A79" s="257"/>
      <c r="B79" s="257"/>
      <c r="C79" s="257"/>
      <c r="D79" s="257"/>
      <c r="E79" s="257"/>
      <c r="F79" s="257"/>
      <c r="G79" s="257"/>
      <c r="H79" s="257"/>
      <c r="I79" s="257"/>
    </row>
    <row r="80" spans="1:9">
      <c r="A80" s="548" t="s">
        <v>324</v>
      </c>
      <c r="B80" s="548"/>
      <c r="C80" s="548"/>
      <c r="D80" s="548"/>
      <c r="E80" s="548"/>
      <c r="F80" s="548"/>
      <c r="G80" s="548"/>
      <c r="H80" s="548"/>
      <c r="I80" s="548"/>
    </row>
    <row r="81" spans="1:9">
      <c r="A81" s="513" t="s">
        <v>297</v>
      </c>
      <c r="B81" s="514"/>
      <c r="C81" s="517" t="s">
        <v>298</v>
      </c>
      <c r="D81" s="518"/>
      <c r="E81" s="262" t="s">
        <v>299</v>
      </c>
      <c r="F81" s="263" t="s">
        <v>325</v>
      </c>
      <c r="G81" s="264" t="s">
        <v>326</v>
      </c>
      <c r="H81" s="264" t="s">
        <v>327</v>
      </c>
      <c r="I81" s="265" t="s">
        <v>328</v>
      </c>
    </row>
    <row r="82" spans="1:9" ht="45">
      <c r="A82" s="513"/>
      <c r="B82" s="514"/>
      <c r="C82" s="549" t="s">
        <v>301</v>
      </c>
      <c r="D82" s="550"/>
      <c r="E82" s="266" t="s">
        <v>329</v>
      </c>
      <c r="F82" s="267" t="s">
        <v>330</v>
      </c>
      <c r="G82" s="268" t="s">
        <v>331</v>
      </c>
      <c r="H82" s="268" t="s">
        <v>302</v>
      </c>
      <c r="I82" s="269" t="s">
        <v>303</v>
      </c>
    </row>
    <row r="83" spans="1:9">
      <c r="A83" s="515"/>
      <c r="B83" s="516"/>
      <c r="C83" s="530" t="s">
        <v>304</v>
      </c>
      <c r="D83" s="531"/>
      <c r="E83" s="270" t="s">
        <v>332</v>
      </c>
      <c r="F83" s="271" t="s">
        <v>332</v>
      </c>
      <c r="G83" s="270" t="s">
        <v>333</v>
      </c>
      <c r="H83" s="270" t="s">
        <v>305</v>
      </c>
      <c r="I83" s="272" t="s">
        <v>306</v>
      </c>
    </row>
    <row r="84" spans="1:9">
      <c r="A84" s="559" t="s">
        <v>334</v>
      </c>
      <c r="B84" s="539" t="s">
        <v>308</v>
      </c>
      <c r="C84" s="520">
        <v>1</v>
      </c>
      <c r="D84" s="521"/>
      <c r="E84" s="553">
        <v>16</v>
      </c>
      <c r="F84" s="523" t="s">
        <v>335</v>
      </c>
      <c r="G84" s="554">
        <f>((C84/(C85*D85))*E84*(1/191.4))</f>
        <v>2.5331686773693045E-5</v>
      </c>
      <c r="H84" s="540">
        <f>E10</f>
        <v>0</v>
      </c>
      <c r="I84" s="552">
        <f>ROUND(G84*H84,2)</f>
        <v>0</v>
      </c>
    </row>
    <row r="85" spans="1:9">
      <c r="A85" s="555"/>
      <c r="B85" s="539"/>
      <c r="C85" s="260">
        <v>30</v>
      </c>
      <c r="D85" s="261">
        <f>[2]Produtividade!$E$15</f>
        <v>110</v>
      </c>
      <c r="E85" s="553"/>
      <c r="F85" s="523"/>
      <c r="G85" s="554"/>
      <c r="H85" s="540"/>
      <c r="I85" s="552"/>
    </row>
    <row r="86" spans="1:9">
      <c r="A86" s="555"/>
      <c r="B86" s="539" t="s">
        <v>309</v>
      </c>
      <c r="C86" s="520">
        <v>1</v>
      </c>
      <c r="D86" s="521"/>
      <c r="E86" s="553">
        <v>16</v>
      </c>
      <c r="F86" s="523" t="s">
        <v>335</v>
      </c>
      <c r="G86" s="554">
        <f>((C86/C87)*E86*(1/191.4))</f>
        <v>7.5995060321079123E-4</v>
      </c>
      <c r="H86" s="540" t="e">
        <f>E12</f>
        <v>#VALUE!</v>
      </c>
      <c r="I86" s="552" t="e">
        <f>ROUND(G86*H86,2)</f>
        <v>#VALUE!</v>
      </c>
    </row>
    <row r="87" spans="1:9">
      <c r="A87" s="556"/>
      <c r="B87" s="539"/>
      <c r="C87" s="524">
        <f>D85</f>
        <v>110</v>
      </c>
      <c r="D87" s="541"/>
      <c r="E87" s="553"/>
      <c r="F87" s="523"/>
      <c r="G87" s="554"/>
      <c r="H87" s="540"/>
      <c r="I87" s="552"/>
    </row>
    <row r="88" spans="1:9">
      <c r="A88" s="526" t="s">
        <v>310</v>
      </c>
      <c r="B88" s="527"/>
      <c r="C88" s="527"/>
      <c r="D88" s="527"/>
      <c r="E88" s="527"/>
      <c r="F88" s="527"/>
      <c r="G88" s="527"/>
      <c r="H88" s="528"/>
      <c r="I88" s="273" t="e">
        <f>ROUND(SUM(I84:I87),2)</f>
        <v>#VALUE!</v>
      </c>
    </row>
    <row r="89" spans="1:9">
      <c r="A89" s="533" t="s">
        <v>336</v>
      </c>
      <c r="B89" s="539" t="s">
        <v>308</v>
      </c>
      <c r="C89" s="520">
        <v>1</v>
      </c>
      <c r="D89" s="521"/>
      <c r="E89" s="553">
        <v>16</v>
      </c>
      <c r="F89" s="523" t="s">
        <v>335</v>
      </c>
      <c r="G89" s="557">
        <f>((C89/(C90*D90))*E89*(1/191.4))</f>
        <v>1.2665843386846523E-5</v>
      </c>
      <c r="H89" s="540">
        <f>E15</f>
        <v>0</v>
      </c>
      <c r="I89" s="552">
        <f>ROUND(G89*H89,2)</f>
        <v>0</v>
      </c>
    </row>
    <row r="90" spans="1:9">
      <c r="A90" s="555"/>
      <c r="B90" s="539"/>
      <c r="C90" s="260">
        <v>30</v>
      </c>
      <c r="D90" s="261">
        <f>[2]Produtividade!$E$16</f>
        <v>220</v>
      </c>
      <c r="E90" s="553"/>
      <c r="F90" s="523"/>
      <c r="G90" s="558"/>
      <c r="H90" s="540"/>
      <c r="I90" s="552"/>
    </row>
    <row r="91" spans="1:9">
      <c r="A91" s="555"/>
      <c r="B91" s="539" t="s">
        <v>309</v>
      </c>
      <c r="C91" s="520">
        <v>1</v>
      </c>
      <c r="D91" s="521"/>
      <c r="E91" s="553">
        <v>16</v>
      </c>
      <c r="F91" s="523" t="s">
        <v>335</v>
      </c>
      <c r="G91" s="557">
        <f>((C91/C92)*E91*(1/191.4))</f>
        <v>3.7997530160539561E-4</v>
      </c>
      <c r="H91" s="540" t="e">
        <f>E17</f>
        <v>#VALUE!</v>
      </c>
      <c r="I91" s="552" t="e">
        <f>ROUND(G91*H91,2)</f>
        <v>#VALUE!</v>
      </c>
    </row>
    <row r="92" spans="1:9">
      <c r="A92" s="556"/>
      <c r="B92" s="539"/>
      <c r="C92" s="524">
        <f>D90</f>
        <v>220</v>
      </c>
      <c r="D92" s="541"/>
      <c r="E92" s="553"/>
      <c r="F92" s="523"/>
      <c r="G92" s="558"/>
      <c r="H92" s="540"/>
      <c r="I92" s="552"/>
    </row>
    <row r="93" spans="1:9">
      <c r="A93" s="526" t="s">
        <v>310</v>
      </c>
      <c r="B93" s="527"/>
      <c r="C93" s="527"/>
      <c r="D93" s="527"/>
      <c r="E93" s="527"/>
      <c r="F93" s="527"/>
      <c r="G93" s="527"/>
      <c r="H93" s="528"/>
      <c r="I93" s="273" t="e">
        <f>ROUND(SUM(I89:I92),2)</f>
        <v>#VALUE!</v>
      </c>
    </row>
    <row r="94" spans="1:9">
      <c r="A94" s="533" t="s">
        <v>337</v>
      </c>
      <c r="B94" s="539" t="s">
        <v>308</v>
      </c>
      <c r="C94" s="520">
        <v>1</v>
      </c>
      <c r="D94" s="521"/>
      <c r="E94" s="553">
        <v>16</v>
      </c>
      <c r="F94" s="523" t="s">
        <v>335</v>
      </c>
      <c r="G94" s="557">
        <f>((C94/(C95*D95))*E94*(1/191.4))</f>
        <v>1.2665843386846523E-5</v>
      </c>
      <c r="H94" s="540">
        <f>E20</f>
        <v>0</v>
      </c>
      <c r="I94" s="552">
        <f>ROUND(G94*H94,2)</f>
        <v>0</v>
      </c>
    </row>
    <row r="95" spans="1:9">
      <c r="A95" s="534"/>
      <c r="B95" s="539"/>
      <c r="C95" s="260">
        <v>30</v>
      </c>
      <c r="D95" s="261">
        <f>[2]Produtividade!$E$17</f>
        <v>220</v>
      </c>
      <c r="E95" s="553"/>
      <c r="F95" s="523"/>
      <c r="G95" s="558"/>
      <c r="H95" s="540"/>
      <c r="I95" s="552"/>
    </row>
    <row r="96" spans="1:9">
      <c r="A96" s="534"/>
      <c r="B96" s="539" t="s">
        <v>309</v>
      </c>
      <c r="C96" s="520">
        <v>1</v>
      </c>
      <c r="D96" s="521"/>
      <c r="E96" s="553">
        <v>16</v>
      </c>
      <c r="F96" s="523" t="s">
        <v>335</v>
      </c>
      <c r="G96" s="557">
        <f>((C96/C97)*E96*(1/191.4))</f>
        <v>3.7997530160539561E-4</v>
      </c>
      <c r="H96" s="540" t="e">
        <f>E22</f>
        <v>#VALUE!</v>
      </c>
      <c r="I96" s="552" t="e">
        <f>ROUND(G96*H96,2)</f>
        <v>#VALUE!</v>
      </c>
    </row>
    <row r="97" spans="1:15">
      <c r="A97" s="535"/>
      <c r="B97" s="539"/>
      <c r="C97" s="524">
        <f>D95</f>
        <v>220</v>
      </c>
      <c r="D97" s="541"/>
      <c r="E97" s="553"/>
      <c r="F97" s="523"/>
      <c r="G97" s="558"/>
      <c r="H97" s="540"/>
      <c r="I97" s="552"/>
    </row>
    <row r="98" spans="1:15">
      <c r="A98" s="526" t="s">
        <v>310</v>
      </c>
      <c r="B98" s="527"/>
      <c r="C98" s="527"/>
      <c r="D98" s="527"/>
      <c r="E98" s="527"/>
      <c r="F98" s="527"/>
      <c r="G98" s="527"/>
      <c r="H98" s="528"/>
      <c r="I98" s="273" t="e">
        <f>ROUND(SUM(I94:I97),2)</f>
        <v>#VALUE!</v>
      </c>
    </row>
    <row r="99" spans="1:15">
      <c r="A99" s="274"/>
      <c r="B99" s="274"/>
      <c r="C99" s="274"/>
      <c r="D99" s="274"/>
      <c r="E99" s="274"/>
      <c r="F99" s="274"/>
      <c r="G99" s="274"/>
      <c r="H99" s="274"/>
      <c r="I99" s="275"/>
      <c r="J99" s="276"/>
      <c r="K99" s="276"/>
      <c r="L99" s="276"/>
      <c r="M99" s="276"/>
      <c r="N99" s="276"/>
      <c r="O99" s="276"/>
    </row>
    <row r="100" spans="1:15">
      <c r="A100" s="548" t="s">
        <v>338</v>
      </c>
      <c r="B100" s="548"/>
      <c r="C100" s="548"/>
      <c r="D100" s="548"/>
      <c r="E100" s="548"/>
      <c r="F100" s="548"/>
      <c r="G100" s="548"/>
      <c r="H100" s="548"/>
      <c r="I100" s="548"/>
    </row>
    <row r="101" spans="1:15">
      <c r="A101" s="513" t="s">
        <v>297</v>
      </c>
      <c r="B101" s="514"/>
      <c r="C101" s="517" t="s">
        <v>298</v>
      </c>
      <c r="D101" s="518"/>
      <c r="E101" s="262" t="s">
        <v>299</v>
      </c>
      <c r="F101" s="263" t="s">
        <v>325</v>
      </c>
      <c r="G101" s="264" t="s">
        <v>326</v>
      </c>
      <c r="H101" s="264" t="s">
        <v>327</v>
      </c>
      <c r="I101" s="265" t="s">
        <v>328</v>
      </c>
    </row>
    <row r="102" spans="1:15" ht="60">
      <c r="A102" s="513"/>
      <c r="B102" s="514"/>
      <c r="C102" s="549" t="s">
        <v>301</v>
      </c>
      <c r="D102" s="550"/>
      <c r="E102" s="268" t="s">
        <v>339</v>
      </c>
      <c r="F102" s="267" t="s">
        <v>340</v>
      </c>
      <c r="G102" s="268" t="s">
        <v>331</v>
      </c>
      <c r="H102" s="268" t="s">
        <v>302</v>
      </c>
      <c r="I102" s="269" t="s">
        <v>303</v>
      </c>
    </row>
    <row r="103" spans="1:15">
      <c r="A103" s="515"/>
      <c r="B103" s="516"/>
      <c r="C103" s="530" t="s">
        <v>304</v>
      </c>
      <c r="D103" s="531"/>
      <c r="E103" s="270" t="s">
        <v>332</v>
      </c>
      <c r="F103" s="271" t="s">
        <v>332</v>
      </c>
      <c r="G103" s="270" t="s">
        <v>341</v>
      </c>
      <c r="H103" s="270" t="s">
        <v>305</v>
      </c>
      <c r="I103" s="272" t="s">
        <v>306</v>
      </c>
    </row>
    <row r="104" spans="1:15">
      <c r="A104" s="539" t="s">
        <v>308</v>
      </c>
      <c r="B104" s="539"/>
      <c r="C104" s="520">
        <v>1</v>
      </c>
      <c r="D104" s="521"/>
      <c r="E104" s="553">
        <v>8</v>
      </c>
      <c r="F104" s="523" t="s">
        <v>342</v>
      </c>
      <c r="G104" s="557">
        <f>((C104/(C105*D105))*E104*(1/1148.4))</f>
        <v>2.1109738978077533E-6</v>
      </c>
      <c r="H104" s="540">
        <f>E25</f>
        <v>0</v>
      </c>
      <c r="I104" s="552">
        <f>ROUND(G104*H104,2)</f>
        <v>0</v>
      </c>
    </row>
    <row r="105" spans="1:15">
      <c r="A105" s="539"/>
      <c r="B105" s="539"/>
      <c r="C105" s="260">
        <v>30</v>
      </c>
      <c r="D105" s="261">
        <f>[2]Produtividade!$E$18</f>
        <v>110</v>
      </c>
      <c r="E105" s="553"/>
      <c r="F105" s="523"/>
      <c r="G105" s="558"/>
      <c r="H105" s="540"/>
      <c r="I105" s="552"/>
    </row>
    <row r="106" spans="1:15">
      <c r="A106" s="539" t="s">
        <v>309</v>
      </c>
      <c r="B106" s="539"/>
      <c r="C106" s="520">
        <v>1</v>
      </c>
      <c r="D106" s="521"/>
      <c r="E106" s="553">
        <v>8</v>
      </c>
      <c r="F106" s="523" t="s">
        <v>342</v>
      </c>
      <c r="G106" s="557">
        <f>((C106/C107)*E106*(1/1148.4))</f>
        <v>6.3329216934232598E-5</v>
      </c>
      <c r="H106" s="540" t="e">
        <f>E27</f>
        <v>#VALUE!</v>
      </c>
      <c r="I106" s="552" t="e">
        <f>ROUND(G106*H106,2)</f>
        <v>#VALUE!</v>
      </c>
    </row>
    <row r="107" spans="1:15">
      <c r="A107" s="539"/>
      <c r="B107" s="539"/>
      <c r="C107" s="524">
        <f>D105</f>
        <v>110</v>
      </c>
      <c r="D107" s="541"/>
      <c r="E107" s="553"/>
      <c r="F107" s="523"/>
      <c r="G107" s="558"/>
      <c r="H107" s="540"/>
      <c r="I107" s="552"/>
    </row>
    <row r="108" spans="1:15">
      <c r="A108" s="562" t="s">
        <v>310</v>
      </c>
      <c r="B108" s="562"/>
      <c r="C108" s="562"/>
      <c r="D108" s="562"/>
      <c r="E108" s="562"/>
      <c r="F108" s="562"/>
      <c r="G108" s="562"/>
      <c r="H108" s="562"/>
      <c r="I108" s="273" t="e">
        <f>SUM(I104:I107)</f>
        <v>#VALUE!</v>
      </c>
    </row>
    <row r="109" spans="1:15">
      <c r="A109" s="274"/>
      <c r="B109" s="274"/>
      <c r="C109" s="274"/>
      <c r="D109" s="274"/>
      <c r="E109" s="274"/>
      <c r="F109" s="274"/>
      <c r="G109" s="274"/>
      <c r="H109" s="274"/>
      <c r="I109" s="275"/>
      <c r="J109" s="276"/>
      <c r="K109" s="276"/>
      <c r="L109" s="276"/>
      <c r="M109" s="276"/>
      <c r="N109" s="276"/>
      <c r="O109" s="276"/>
    </row>
    <row r="110" spans="1:15">
      <c r="A110" s="510" t="s">
        <v>343</v>
      </c>
      <c r="B110" s="511"/>
      <c r="C110" s="511"/>
      <c r="D110" s="511"/>
      <c r="E110" s="511"/>
      <c r="F110" s="511"/>
      <c r="G110" s="511"/>
      <c r="H110" s="511"/>
      <c r="I110" s="512"/>
    </row>
    <row r="111" spans="1:15">
      <c r="A111" s="513" t="s">
        <v>297</v>
      </c>
      <c r="B111" s="514"/>
      <c r="C111" s="517" t="s">
        <v>298</v>
      </c>
      <c r="D111" s="518"/>
      <c r="E111" s="517" t="s">
        <v>299</v>
      </c>
      <c r="F111" s="518"/>
      <c r="G111" s="563" t="s">
        <v>300</v>
      </c>
      <c r="H111" s="564"/>
      <c r="I111" s="565"/>
    </row>
    <row r="112" spans="1:15">
      <c r="A112" s="513"/>
      <c r="B112" s="514"/>
      <c r="C112" s="517" t="s">
        <v>301</v>
      </c>
      <c r="D112" s="518"/>
      <c r="E112" s="517" t="s">
        <v>302</v>
      </c>
      <c r="F112" s="518"/>
      <c r="G112" s="517" t="s">
        <v>303</v>
      </c>
      <c r="H112" s="519"/>
      <c r="I112" s="518"/>
    </row>
    <row r="113" spans="1:9">
      <c r="A113" s="515"/>
      <c r="B113" s="516"/>
      <c r="C113" s="530" t="s">
        <v>304</v>
      </c>
      <c r="D113" s="531"/>
      <c r="E113" s="530" t="s">
        <v>305</v>
      </c>
      <c r="F113" s="531"/>
      <c r="G113" s="530" t="s">
        <v>306</v>
      </c>
      <c r="H113" s="532"/>
      <c r="I113" s="531"/>
    </row>
    <row r="114" spans="1:9">
      <c r="A114" s="560" t="s">
        <v>308</v>
      </c>
      <c r="B114" s="561"/>
      <c r="C114" s="520">
        <v>1</v>
      </c>
      <c r="D114" s="521"/>
      <c r="E114" s="540">
        <f>E70</f>
        <v>0</v>
      </c>
      <c r="F114" s="540"/>
      <c r="G114" s="523">
        <f>ROUND(E114*(C114/(C115*D115)),2)</f>
        <v>0</v>
      </c>
      <c r="H114" s="523"/>
      <c r="I114" s="523"/>
    </row>
    <row r="115" spans="1:9">
      <c r="A115" s="513"/>
      <c r="B115" s="514"/>
      <c r="C115" s="260">
        <v>30</v>
      </c>
      <c r="D115" s="261">
        <f>[2]Produtividade!$E$19</f>
        <v>330</v>
      </c>
      <c r="E115" s="540"/>
      <c r="F115" s="540"/>
      <c r="G115" s="523"/>
      <c r="H115" s="523"/>
      <c r="I115" s="523"/>
    </row>
    <row r="116" spans="1:9">
      <c r="A116" s="513" t="s">
        <v>309</v>
      </c>
      <c r="B116" s="514"/>
      <c r="C116" s="520">
        <v>1</v>
      </c>
      <c r="D116" s="521"/>
      <c r="E116" s="540" t="e">
        <f>E72</f>
        <v>#VALUE!</v>
      </c>
      <c r="F116" s="540"/>
      <c r="G116" s="523" t="e">
        <f>ROUND(E116*(C116/(C117)),2)</f>
        <v>#VALUE!</v>
      </c>
      <c r="H116" s="523"/>
      <c r="I116" s="523"/>
    </row>
    <row r="117" spans="1:9">
      <c r="A117" s="515"/>
      <c r="B117" s="516"/>
      <c r="C117" s="524">
        <f>D115</f>
        <v>330</v>
      </c>
      <c r="D117" s="541"/>
      <c r="E117" s="540"/>
      <c r="F117" s="540"/>
      <c r="G117" s="523"/>
      <c r="H117" s="523"/>
      <c r="I117" s="523"/>
    </row>
    <row r="118" spans="1:9">
      <c r="A118" s="562" t="s">
        <v>310</v>
      </c>
      <c r="B118" s="562"/>
      <c r="C118" s="562"/>
      <c r="D118" s="562"/>
      <c r="E118" s="562"/>
      <c r="F118" s="562"/>
      <c r="G118" s="529" t="e">
        <f>ROUND(SUM(G114:H117),2)</f>
        <v>#VALUE!</v>
      </c>
      <c r="H118" s="529"/>
      <c r="I118" s="529"/>
    </row>
    <row r="119" spans="1:9">
      <c r="A119" s="257"/>
      <c r="B119" s="257"/>
      <c r="C119" s="257"/>
      <c r="D119" s="257"/>
      <c r="E119" s="257"/>
      <c r="F119" s="257"/>
      <c r="G119" s="257"/>
      <c r="H119" s="257"/>
      <c r="I119" s="258" t="s">
        <v>344</v>
      </c>
    </row>
    <row r="120" spans="1:9" ht="26.25">
      <c r="A120" s="566" t="s">
        <v>293</v>
      </c>
      <c r="B120" s="566"/>
      <c r="C120" s="566"/>
      <c r="D120" s="566"/>
      <c r="E120" s="566"/>
      <c r="F120" s="566"/>
      <c r="G120" s="566"/>
      <c r="H120" s="566"/>
      <c r="I120" s="566"/>
    </row>
    <row r="121" spans="1:9">
      <c r="A121" s="509" t="s">
        <v>294</v>
      </c>
      <c r="B121" s="509"/>
      <c r="C121" s="509"/>
      <c r="D121" s="509"/>
      <c r="E121" s="509"/>
      <c r="F121" s="509"/>
      <c r="G121" s="509"/>
      <c r="H121" s="509"/>
      <c r="I121" s="509"/>
    </row>
    <row r="122" spans="1:9">
      <c r="A122" s="509" t="s">
        <v>345</v>
      </c>
      <c r="B122" s="509"/>
      <c r="C122" s="509"/>
      <c r="D122" s="509"/>
      <c r="E122" s="509"/>
      <c r="F122" s="509"/>
      <c r="G122" s="509"/>
      <c r="H122" s="509"/>
      <c r="I122" s="509"/>
    </row>
    <row r="123" spans="1:9">
      <c r="A123" s="513" t="s">
        <v>346</v>
      </c>
      <c r="B123" s="567"/>
      <c r="C123" s="567"/>
      <c r="D123" s="513" t="s">
        <v>347</v>
      </c>
      <c r="E123" s="514"/>
      <c r="F123" s="269" t="s">
        <v>348</v>
      </c>
      <c r="G123" s="560" t="s">
        <v>303</v>
      </c>
      <c r="H123" s="569"/>
      <c r="I123" s="561"/>
    </row>
    <row r="124" spans="1:9">
      <c r="A124" s="515"/>
      <c r="B124" s="568"/>
      <c r="C124" s="568"/>
      <c r="D124" s="515" t="s">
        <v>306</v>
      </c>
      <c r="E124" s="516"/>
      <c r="F124" s="277" t="s">
        <v>349</v>
      </c>
      <c r="G124" s="515" t="s">
        <v>305</v>
      </c>
      <c r="H124" s="568"/>
      <c r="I124" s="516"/>
    </row>
    <row r="125" spans="1:9">
      <c r="A125" s="539" t="s">
        <v>350</v>
      </c>
      <c r="B125" s="574" t="s">
        <v>351</v>
      </c>
      <c r="C125" s="574"/>
      <c r="D125" s="575" t="e">
        <f>G14</f>
        <v>#VALUE!</v>
      </c>
      <c r="E125" s="575"/>
      <c r="F125" s="278">
        <f>[2]Servente!$E$16</f>
        <v>0</v>
      </c>
      <c r="G125" s="523" t="e">
        <f t="shared" ref="G125:G130" si="0">D125*F125</f>
        <v>#VALUE!</v>
      </c>
      <c r="H125" s="523"/>
      <c r="I125" s="523"/>
    </row>
    <row r="126" spans="1:9">
      <c r="A126" s="539"/>
      <c r="B126" s="574" t="s">
        <v>352</v>
      </c>
      <c r="C126" s="574"/>
      <c r="D126" s="540" t="e">
        <f>G19</f>
        <v>#VALUE!</v>
      </c>
      <c r="E126" s="571"/>
      <c r="F126" s="278">
        <f>[2]Servente!$E$17</f>
        <v>1750</v>
      </c>
      <c r="G126" s="523" t="e">
        <f t="shared" si="0"/>
        <v>#VALUE!</v>
      </c>
      <c r="H126" s="523"/>
      <c r="I126" s="523"/>
    </row>
    <row r="127" spans="1:9">
      <c r="A127" s="539"/>
      <c r="B127" s="574" t="s">
        <v>312</v>
      </c>
      <c r="C127" s="574"/>
      <c r="D127" s="540" t="e">
        <f>G24</f>
        <v>#VALUE!</v>
      </c>
      <c r="E127" s="571"/>
      <c r="F127" s="278">
        <f>[2]Servente!$E$18</f>
        <v>0</v>
      </c>
      <c r="G127" s="523" t="e">
        <f>D127*F127</f>
        <v>#VALUE!</v>
      </c>
      <c r="H127" s="523"/>
      <c r="I127" s="523"/>
    </row>
    <row r="128" spans="1:9">
      <c r="A128" s="539"/>
      <c r="B128" s="574" t="s">
        <v>353</v>
      </c>
      <c r="C128" s="574"/>
      <c r="D128" s="540" t="e">
        <f>G29</f>
        <v>#VALUE!</v>
      </c>
      <c r="E128" s="571"/>
      <c r="F128" s="278">
        <f>[2]Servente!$E$19</f>
        <v>0</v>
      </c>
      <c r="G128" s="523" t="e">
        <f t="shared" si="0"/>
        <v>#VALUE!</v>
      </c>
      <c r="H128" s="523"/>
      <c r="I128" s="523"/>
    </row>
    <row r="129" spans="1:9">
      <c r="A129" s="539"/>
      <c r="B129" s="574" t="s">
        <v>314</v>
      </c>
      <c r="C129" s="574"/>
      <c r="D129" s="540" t="e">
        <f>G34</f>
        <v>#VALUE!</v>
      </c>
      <c r="E129" s="571"/>
      <c r="F129" s="278">
        <f>[2]Servente!$E$20</f>
        <v>0</v>
      </c>
      <c r="G129" s="523" t="e">
        <f t="shared" si="0"/>
        <v>#VALUE!</v>
      </c>
      <c r="H129" s="523"/>
      <c r="I129" s="523"/>
    </row>
    <row r="130" spans="1:9">
      <c r="A130" s="539"/>
      <c r="B130" s="570" t="s">
        <v>354</v>
      </c>
      <c r="C130" s="570"/>
      <c r="D130" s="540" t="e">
        <f>G39</f>
        <v>#VALUE!</v>
      </c>
      <c r="E130" s="571"/>
      <c r="F130" s="572">
        <f>[2]Servente!$E$21</f>
        <v>0</v>
      </c>
      <c r="G130" s="523" t="e">
        <f t="shared" si="0"/>
        <v>#VALUE!</v>
      </c>
      <c r="H130" s="523"/>
      <c r="I130" s="523"/>
    </row>
    <row r="131" spans="1:9">
      <c r="A131" s="539"/>
      <c r="B131" s="570"/>
      <c r="C131" s="570"/>
      <c r="D131" s="571"/>
      <c r="E131" s="571"/>
      <c r="F131" s="572"/>
      <c r="G131" s="523"/>
      <c r="H131" s="523"/>
      <c r="I131" s="523"/>
    </row>
    <row r="132" spans="1:9">
      <c r="A132" s="573" t="s">
        <v>355</v>
      </c>
      <c r="B132" s="573"/>
      <c r="C132" s="573"/>
      <c r="D132" s="573"/>
      <c r="E132" s="573"/>
      <c r="F132" s="573"/>
      <c r="G132" s="529" t="e">
        <f>SUM(G125:H131)</f>
        <v>#VALUE!</v>
      </c>
      <c r="H132" s="529"/>
      <c r="I132" s="529"/>
    </row>
    <row r="133" spans="1:9">
      <c r="A133" s="539" t="s">
        <v>356</v>
      </c>
      <c r="B133" s="576" t="s">
        <v>357</v>
      </c>
      <c r="C133" s="577"/>
      <c r="D133" s="575" t="e">
        <f>G49</f>
        <v>#VALUE!</v>
      </c>
      <c r="E133" s="575"/>
      <c r="F133" s="278">
        <f>[2]Servente!$E$23</f>
        <v>0</v>
      </c>
      <c r="G133" s="523" t="e">
        <f t="shared" ref="G133:G138" si="1">D133*F133</f>
        <v>#VALUE!</v>
      </c>
      <c r="H133" s="523"/>
      <c r="I133" s="523"/>
    </row>
    <row r="134" spans="1:9">
      <c r="A134" s="539"/>
      <c r="B134" s="578" t="s">
        <v>358</v>
      </c>
      <c r="C134" s="579"/>
      <c r="D134" s="540" t="e">
        <f>G54</f>
        <v>#VALUE!</v>
      </c>
      <c r="E134" s="571"/>
      <c r="F134" s="278">
        <f>[2]Servente!$E$24</f>
        <v>0</v>
      </c>
      <c r="G134" s="523" t="e">
        <f t="shared" si="1"/>
        <v>#VALUE!</v>
      </c>
      <c r="H134" s="523"/>
      <c r="I134" s="523"/>
    </row>
    <row r="135" spans="1:9">
      <c r="A135" s="539"/>
      <c r="B135" s="570" t="s">
        <v>359</v>
      </c>
      <c r="C135" s="570"/>
      <c r="D135" s="540" t="e">
        <f>G59</f>
        <v>#VALUE!</v>
      </c>
      <c r="E135" s="571"/>
      <c r="F135" s="278">
        <f>[2]Servente!$E$25</f>
        <v>0</v>
      </c>
      <c r="G135" s="523" t="e">
        <f t="shared" si="1"/>
        <v>#VALUE!</v>
      </c>
      <c r="H135" s="523"/>
      <c r="I135" s="523"/>
    </row>
    <row r="136" spans="1:9">
      <c r="A136" s="539"/>
      <c r="B136" s="570" t="s">
        <v>360</v>
      </c>
      <c r="C136" s="570"/>
      <c r="D136" s="540" t="e">
        <f>G64</f>
        <v>#VALUE!</v>
      </c>
      <c r="E136" s="571"/>
      <c r="F136" s="278">
        <f>[2]Servente!$E$26</f>
        <v>0</v>
      </c>
      <c r="G136" s="523" t="e">
        <f t="shared" si="1"/>
        <v>#VALUE!</v>
      </c>
      <c r="H136" s="523"/>
      <c r="I136" s="523"/>
    </row>
    <row r="137" spans="1:9">
      <c r="A137" s="539"/>
      <c r="B137" s="570" t="s">
        <v>361</v>
      </c>
      <c r="C137" s="570"/>
      <c r="D137" s="540" t="e">
        <f>G69</f>
        <v>#VALUE!</v>
      </c>
      <c r="E137" s="571"/>
      <c r="F137" s="278">
        <f>[2]Servente!$E$27</f>
        <v>0</v>
      </c>
      <c r="G137" s="523" t="e">
        <f t="shared" si="1"/>
        <v>#VALUE!</v>
      </c>
      <c r="H137" s="523"/>
      <c r="I137" s="523"/>
    </row>
    <row r="138" spans="1:9">
      <c r="A138" s="539"/>
      <c r="B138" s="570" t="s">
        <v>362</v>
      </c>
      <c r="C138" s="570"/>
      <c r="D138" s="540" t="e">
        <f>G74</f>
        <v>#VALUE!</v>
      </c>
      <c r="E138" s="571"/>
      <c r="F138" s="572">
        <f>[2]Servente!$E$28</f>
        <v>920</v>
      </c>
      <c r="G138" s="523" t="e">
        <f t="shared" si="1"/>
        <v>#VALUE!</v>
      </c>
      <c r="H138" s="523"/>
      <c r="I138" s="523"/>
    </row>
    <row r="139" spans="1:9">
      <c r="A139" s="539"/>
      <c r="B139" s="570"/>
      <c r="C139" s="570"/>
      <c r="D139" s="571"/>
      <c r="E139" s="571"/>
      <c r="F139" s="572"/>
      <c r="G139" s="523"/>
      <c r="H139" s="523"/>
      <c r="I139" s="523"/>
    </row>
    <row r="140" spans="1:9">
      <c r="A140" s="573" t="s">
        <v>363</v>
      </c>
      <c r="B140" s="573"/>
      <c r="C140" s="573"/>
      <c r="D140" s="573"/>
      <c r="E140" s="573"/>
      <c r="F140" s="573"/>
      <c r="G140" s="529" t="e">
        <f>SUM(G133:H139)</f>
        <v>#VALUE!</v>
      </c>
      <c r="H140" s="529"/>
      <c r="I140" s="529"/>
    </row>
    <row r="141" spans="1:9">
      <c r="A141" s="580" t="s">
        <v>364</v>
      </c>
      <c r="B141" s="582" t="s">
        <v>365</v>
      </c>
      <c r="C141" s="583"/>
      <c r="D141" s="584" t="e">
        <f>I88</f>
        <v>#VALUE!</v>
      </c>
      <c r="E141" s="584"/>
      <c r="F141" s="278">
        <f>[2]Servente!$E$30</f>
        <v>220</v>
      </c>
      <c r="G141" s="523" t="e">
        <f>D141*F141</f>
        <v>#VALUE!</v>
      </c>
      <c r="H141" s="523"/>
      <c r="I141" s="523"/>
    </row>
    <row r="142" spans="1:9">
      <c r="A142" s="581"/>
      <c r="B142" s="582" t="s">
        <v>366</v>
      </c>
      <c r="C142" s="583"/>
      <c r="D142" s="584" t="e">
        <f>I93</f>
        <v>#VALUE!</v>
      </c>
      <c r="E142" s="585"/>
      <c r="F142" s="278">
        <f>[2]Servente!$E$31</f>
        <v>140</v>
      </c>
      <c r="G142" s="523" t="e">
        <f>D142*F142</f>
        <v>#VALUE!</v>
      </c>
      <c r="H142" s="523"/>
      <c r="I142" s="523"/>
    </row>
    <row r="143" spans="1:9">
      <c r="A143" s="581"/>
      <c r="B143" s="586" t="s">
        <v>367</v>
      </c>
      <c r="C143" s="586"/>
      <c r="D143" s="584" t="e">
        <f>I98</f>
        <v>#VALUE!</v>
      </c>
      <c r="E143" s="585"/>
      <c r="F143" s="278">
        <f>[2]Servente!$E$32</f>
        <v>360</v>
      </c>
      <c r="G143" s="523" t="e">
        <f>D143*F143</f>
        <v>#VALUE!</v>
      </c>
      <c r="H143" s="523"/>
      <c r="I143" s="523"/>
    </row>
    <row r="144" spans="1:9">
      <c r="A144" s="590" t="s">
        <v>368</v>
      </c>
      <c r="B144" s="590"/>
      <c r="C144" s="590"/>
      <c r="D144" s="590"/>
      <c r="E144" s="590"/>
      <c r="F144" s="590"/>
      <c r="G144" s="529" t="e">
        <f>SUM(G141:H143)</f>
        <v>#VALUE!</v>
      </c>
      <c r="H144" s="529"/>
      <c r="I144" s="529"/>
    </row>
    <row r="145" spans="1:15">
      <c r="A145" s="582" t="s">
        <v>369</v>
      </c>
      <c r="B145" s="591"/>
      <c r="C145" s="583"/>
      <c r="D145" s="584" t="e">
        <f>I108</f>
        <v>#VALUE!</v>
      </c>
      <c r="E145" s="584"/>
      <c r="F145" s="278">
        <f>[2]Servente!$E$34</f>
        <v>0</v>
      </c>
      <c r="G145" s="523" t="e">
        <f>D145*F145</f>
        <v>#VALUE!</v>
      </c>
      <c r="H145" s="523"/>
      <c r="I145" s="523"/>
    </row>
    <row r="146" spans="1:15">
      <c r="A146" s="573" t="s">
        <v>370</v>
      </c>
      <c r="B146" s="573"/>
      <c r="C146" s="573"/>
      <c r="D146" s="573"/>
      <c r="E146" s="573"/>
      <c r="F146" s="573"/>
      <c r="G146" s="529" t="e">
        <f>SUM(G145:H145)</f>
        <v>#VALUE!</v>
      </c>
      <c r="H146" s="529"/>
      <c r="I146" s="529"/>
    </row>
    <row r="147" spans="1:15">
      <c r="A147" s="578" t="s">
        <v>343</v>
      </c>
      <c r="B147" s="587"/>
      <c r="C147" s="579"/>
      <c r="D147" s="575" t="e">
        <f>G118</f>
        <v>#VALUE!</v>
      </c>
      <c r="E147" s="575"/>
      <c r="F147" s="278">
        <f>[2]Servente!$E$36</f>
        <v>0</v>
      </c>
      <c r="G147" s="523" t="e">
        <f>D147*F147</f>
        <v>#VALUE!</v>
      </c>
      <c r="H147" s="523"/>
      <c r="I147" s="523"/>
    </row>
    <row r="148" spans="1:15">
      <c r="A148" s="573" t="s">
        <v>371</v>
      </c>
      <c r="B148" s="573"/>
      <c r="C148" s="573"/>
      <c r="D148" s="573"/>
      <c r="E148" s="573"/>
      <c r="F148" s="573"/>
      <c r="G148" s="529" t="e">
        <f>SUM(G147:H147)</f>
        <v>#VALUE!</v>
      </c>
      <c r="H148" s="529"/>
      <c r="I148" s="529"/>
    </row>
    <row r="149" spans="1:15" ht="21">
      <c r="A149" s="588" t="s">
        <v>372</v>
      </c>
      <c r="B149" s="588"/>
      <c r="C149" s="588"/>
      <c r="D149" s="588"/>
      <c r="E149" s="588"/>
      <c r="F149" s="588"/>
      <c r="G149" s="589" t="e">
        <f>G132+G140+G144+G146+G148</f>
        <v>#VALUE!</v>
      </c>
      <c r="H149" s="589"/>
      <c r="I149" s="589"/>
    </row>
    <row r="150" spans="1:15">
      <c r="A150" s="257"/>
      <c r="B150" s="257"/>
      <c r="C150" s="257"/>
      <c r="D150" s="257"/>
      <c r="E150" s="257"/>
      <c r="F150" s="257"/>
      <c r="G150" s="257"/>
      <c r="H150" s="257"/>
      <c r="I150" s="257"/>
    </row>
    <row r="151" spans="1:15">
      <c r="A151" s="595" t="s">
        <v>373</v>
      </c>
      <c r="B151" s="595"/>
      <c r="C151" s="595"/>
      <c r="D151" s="595"/>
      <c r="E151" s="596" t="s">
        <v>374</v>
      </c>
      <c r="F151" s="596"/>
      <c r="G151" s="597" t="e">
        <f>G149*E152</f>
        <v>#VALUE!</v>
      </c>
      <c r="H151" s="597"/>
      <c r="I151" s="597"/>
    </row>
    <row r="152" spans="1:15">
      <c r="A152" s="595"/>
      <c r="B152" s="595"/>
      <c r="C152" s="595"/>
      <c r="D152" s="595"/>
      <c r="E152" s="598">
        <f>[2]Servente!$F$13</f>
        <v>12</v>
      </c>
      <c r="F152" s="599"/>
      <c r="G152" s="597"/>
      <c r="H152" s="597"/>
      <c r="I152" s="597"/>
    </row>
    <row r="153" spans="1:15">
      <c r="A153" s="257"/>
      <c r="B153" s="257"/>
      <c r="C153" s="257"/>
      <c r="D153" s="257"/>
      <c r="E153" s="257"/>
      <c r="F153" s="257"/>
      <c r="G153" s="257"/>
      <c r="H153" s="257"/>
      <c r="I153" s="257"/>
    </row>
    <row r="154" spans="1:15">
      <c r="A154" s="600" t="s">
        <v>375</v>
      </c>
      <c r="B154" s="601"/>
      <c r="C154" s="601"/>
      <c r="D154" s="601"/>
      <c r="E154" s="601"/>
      <c r="F154" s="601"/>
      <c r="G154" s="601"/>
      <c r="H154" s="601"/>
      <c r="I154" s="601"/>
    </row>
    <row r="155" spans="1:15">
      <c r="A155" s="596" t="s">
        <v>376</v>
      </c>
      <c r="B155" s="596"/>
      <c r="C155" s="596"/>
      <c r="D155" s="596"/>
      <c r="E155" s="596" t="s">
        <v>377</v>
      </c>
      <c r="F155" s="596"/>
      <c r="G155" s="596"/>
      <c r="H155" s="596"/>
      <c r="I155" s="596"/>
    </row>
    <row r="156" spans="1:15">
      <c r="A156" s="574" t="s">
        <v>309</v>
      </c>
      <c r="B156" s="574"/>
      <c r="C156" s="574"/>
      <c r="D156" s="574"/>
      <c r="E156" s="592" t="e">
        <f>ROUND(G149/E12,2)</f>
        <v>#VALUE!</v>
      </c>
      <c r="F156" s="592"/>
      <c r="G156" s="592"/>
      <c r="H156" s="592"/>
      <c r="I156" s="592"/>
    </row>
    <row r="157" spans="1:15">
      <c r="A157" s="574" t="s">
        <v>308</v>
      </c>
      <c r="B157" s="574"/>
      <c r="C157" s="574"/>
      <c r="D157" s="574"/>
      <c r="E157" s="593" t="e">
        <f>ROUND((E156/30),0)</f>
        <v>#VALUE!</v>
      </c>
      <c r="F157" s="593"/>
      <c r="G157" s="593"/>
      <c r="H157" s="593"/>
      <c r="I157" s="593"/>
    </row>
    <row r="160" spans="1:15">
      <c r="A160" s="279"/>
      <c r="B160" s="279"/>
      <c r="C160" s="279"/>
      <c r="D160" s="279"/>
      <c r="E160" s="279"/>
      <c r="F160" s="279"/>
      <c r="G160" s="279"/>
      <c r="H160" s="279"/>
      <c r="I160" s="280"/>
      <c r="J160" s="279"/>
      <c r="K160" s="279"/>
      <c r="L160" s="279"/>
      <c r="M160" s="279"/>
      <c r="N160" s="279"/>
      <c r="O160" s="279"/>
    </row>
    <row r="161" spans="1:15">
      <c r="A161" s="594"/>
      <c r="B161" s="594"/>
      <c r="C161" s="594"/>
      <c r="D161" s="594"/>
      <c r="E161" s="594"/>
      <c r="F161" s="594"/>
      <c r="G161" s="594"/>
      <c r="H161" s="594"/>
      <c r="I161" s="279"/>
      <c r="J161" s="279"/>
      <c r="K161" s="279"/>
      <c r="L161" s="279"/>
      <c r="M161" s="279"/>
      <c r="N161" s="279"/>
      <c r="O161" s="279"/>
    </row>
  </sheetData>
  <mergeCells count="359">
    <mergeCell ref="A156:D156"/>
    <mergeCell ref="E156:I156"/>
    <mergeCell ref="A157:D157"/>
    <mergeCell ref="E157:I157"/>
    <mergeCell ref="A161:H161"/>
    <mergeCell ref="A151:D152"/>
    <mergeCell ref="E151:F151"/>
    <mergeCell ref="G151:I152"/>
    <mergeCell ref="E152:F152"/>
    <mergeCell ref="A154:I154"/>
    <mergeCell ref="A155:D155"/>
    <mergeCell ref="E155:I155"/>
    <mergeCell ref="A147:C147"/>
    <mergeCell ref="D147:E147"/>
    <mergeCell ref="G147:I147"/>
    <mergeCell ref="A148:F148"/>
    <mergeCell ref="G148:I148"/>
    <mergeCell ref="A149:F149"/>
    <mergeCell ref="G149:I149"/>
    <mergeCell ref="A144:F144"/>
    <mergeCell ref="G144:I144"/>
    <mergeCell ref="A145:C145"/>
    <mergeCell ref="D145:E145"/>
    <mergeCell ref="G145:I145"/>
    <mergeCell ref="A146:F146"/>
    <mergeCell ref="G146:I146"/>
    <mergeCell ref="A141:A143"/>
    <mergeCell ref="B141:C141"/>
    <mergeCell ref="D141:E141"/>
    <mergeCell ref="G141:I141"/>
    <mergeCell ref="B142:C142"/>
    <mergeCell ref="D142:E142"/>
    <mergeCell ref="G142:I142"/>
    <mergeCell ref="B143:C143"/>
    <mergeCell ref="D143:E143"/>
    <mergeCell ref="G143:I143"/>
    <mergeCell ref="B138:C139"/>
    <mergeCell ref="D138:E139"/>
    <mergeCell ref="F138:F139"/>
    <mergeCell ref="G138:I139"/>
    <mergeCell ref="A140:F140"/>
    <mergeCell ref="G140:I140"/>
    <mergeCell ref="B136:C136"/>
    <mergeCell ref="D136:E136"/>
    <mergeCell ref="G136:I136"/>
    <mergeCell ref="B137:C137"/>
    <mergeCell ref="D137:E137"/>
    <mergeCell ref="G137:I137"/>
    <mergeCell ref="A133:A139"/>
    <mergeCell ref="B133:C133"/>
    <mergeCell ref="D133:E133"/>
    <mergeCell ref="G133:I133"/>
    <mergeCell ref="B134:C134"/>
    <mergeCell ref="D134:E134"/>
    <mergeCell ref="G134:I134"/>
    <mergeCell ref="B135:C135"/>
    <mergeCell ref="D135:E135"/>
    <mergeCell ref="G135:I135"/>
    <mergeCell ref="B130:C131"/>
    <mergeCell ref="D130:E131"/>
    <mergeCell ref="F130:F131"/>
    <mergeCell ref="G130:I131"/>
    <mergeCell ref="A132:F132"/>
    <mergeCell ref="G132:I132"/>
    <mergeCell ref="B128:C128"/>
    <mergeCell ref="D128:E128"/>
    <mergeCell ref="G128:I128"/>
    <mergeCell ref="B129:C129"/>
    <mergeCell ref="D129:E129"/>
    <mergeCell ref="G129:I129"/>
    <mergeCell ref="A125:A131"/>
    <mergeCell ref="B125:C125"/>
    <mergeCell ref="D125:E125"/>
    <mergeCell ref="G125:I125"/>
    <mergeCell ref="B126:C126"/>
    <mergeCell ref="D126:E126"/>
    <mergeCell ref="G126:I126"/>
    <mergeCell ref="B127:C127"/>
    <mergeCell ref="D127:E127"/>
    <mergeCell ref="G127:I127"/>
    <mergeCell ref="A120:I120"/>
    <mergeCell ref="A121:I121"/>
    <mergeCell ref="A122:I122"/>
    <mergeCell ref="A123:C124"/>
    <mergeCell ref="D123:E123"/>
    <mergeCell ref="G123:I123"/>
    <mergeCell ref="D124:E124"/>
    <mergeCell ref="G124:I124"/>
    <mergeCell ref="A116:B117"/>
    <mergeCell ref="C116:D116"/>
    <mergeCell ref="E116:F117"/>
    <mergeCell ref="G116:I117"/>
    <mergeCell ref="C117:D117"/>
    <mergeCell ref="A118:F118"/>
    <mergeCell ref="G118:I118"/>
    <mergeCell ref="E113:F113"/>
    <mergeCell ref="G113:I113"/>
    <mergeCell ref="A114:B115"/>
    <mergeCell ref="C114:D114"/>
    <mergeCell ref="E114:F115"/>
    <mergeCell ref="G114:I115"/>
    <mergeCell ref="A108:H108"/>
    <mergeCell ref="A110:I110"/>
    <mergeCell ref="A111:B113"/>
    <mergeCell ref="C111:D111"/>
    <mergeCell ref="E111:F111"/>
    <mergeCell ref="G111:I111"/>
    <mergeCell ref="C112:D112"/>
    <mergeCell ref="E112:F112"/>
    <mergeCell ref="G112:I112"/>
    <mergeCell ref="C113:D113"/>
    <mergeCell ref="I104:I105"/>
    <mergeCell ref="A106:B107"/>
    <mergeCell ref="C106:D106"/>
    <mergeCell ref="E106:E107"/>
    <mergeCell ref="F106:F107"/>
    <mergeCell ref="G106:G107"/>
    <mergeCell ref="H106:H107"/>
    <mergeCell ref="I106:I107"/>
    <mergeCell ref="C107:D107"/>
    <mergeCell ref="A104:B105"/>
    <mergeCell ref="C104:D104"/>
    <mergeCell ref="E104:E105"/>
    <mergeCell ref="F104:F105"/>
    <mergeCell ref="G104:G105"/>
    <mergeCell ref="H104:H105"/>
    <mergeCell ref="A98:H98"/>
    <mergeCell ref="A100:I100"/>
    <mergeCell ref="A101:B103"/>
    <mergeCell ref="C101:D101"/>
    <mergeCell ref="C102:D102"/>
    <mergeCell ref="C103:D103"/>
    <mergeCell ref="I94:I95"/>
    <mergeCell ref="B96:B97"/>
    <mergeCell ref="C96:D96"/>
    <mergeCell ref="E96:E97"/>
    <mergeCell ref="F96:F97"/>
    <mergeCell ref="G96:G97"/>
    <mergeCell ref="H96:H97"/>
    <mergeCell ref="I96:I97"/>
    <mergeCell ref="C97:D97"/>
    <mergeCell ref="A93:H93"/>
    <mergeCell ref="A94:A97"/>
    <mergeCell ref="B94:B95"/>
    <mergeCell ref="C94:D94"/>
    <mergeCell ref="E94:E95"/>
    <mergeCell ref="F94:F95"/>
    <mergeCell ref="G94:G95"/>
    <mergeCell ref="H94:H95"/>
    <mergeCell ref="I89:I90"/>
    <mergeCell ref="B91:B92"/>
    <mergeCell ref="C91:D91"/>
    <mergeCell ref="E91:E92"/>
    <mergeCell ref="F91:F92"/>
    <mergeCell ref="G91:G92"/>
    <mergeCell ref="H91:H92"/>
    <mergeCell ref="I91:I92"/>
    <mergeCell ref="C92:D92"/>
    <mergeCell ref="A88:H88"/>
    <mergeCell ref="A89:A92"/>
    <mergeCell ref="B89:B90"/>
    <mergeCell ref="C89:D89"/>
    <mergeCell ref="E89:E90"/>
    <mergeCell ref="F89:F90"/>
    <mergeCell ref="G89:G90"/>
    <mergeCell ref="H89:H90"/>
    <mergeCell ref="H84:H85"/>
    <mergeCell ref="A84:A87"/>
    <mergeCell ref="I84:I85"/>
    <mergeCell ref="B86:B87"/>
    <mergeCell ref="C86:D86"/>
    <mergeCell ref="E86:E87"/>
    <mergeCell ref="F86:F87"/>
    <mergeCell ref="G86:G87"/>
    <mergeCell ref="H86:H87"/>
    <mergeCell ref="I86:I87"/>
    <mergeCell ref="C87:D87"/>
    <mergeCell ref="B84:B85"/>
    <mergeCell ref="C84:D84"/>
    <mergeCell ref="E84:E85"/>
    <mergeCell ref="F84:F85"/>
    <mergeCell ref="G84:G85"/>
    <mergeCell ref="A78:I78"/>
    <mergeCell ref="A80:I80"/>
    <mergeCell ref="A81:B83"/>
    <mergeCell ref="C81:D81"/>
    <mergeCell ref="C82:D82"/>
    <mergeCell ref="C83:D83"/>
    <mergeCell ref="G72:I73"/>
    <mergeCell ref="C73:D73"/>
    <mergeCell ref="A74:F74"/>
    <mergeCell ref="G74:I74"/>
    <mergeCell ref="A76:I76"/>
    <mergeCell ref="A77:I77"/>
    <mergeCell ref="A69:F69"/>
    <mergeCell ref="G69:I69"/>
    <mergeCell ref="A70:A73"/>
    <mergeCell ref="B70:B71"/>
    <mergeCell ref="C70:D70"/>
    <mergeCell ref="E70:F71"/>
    <mergeCell ref="G70:I71"/>
    <mergeCell ref="B72:B73"/>
    <mergeCell ref="C72:D72"/>
    <mergeCell ref="E72:F73"/>
    <mergeCell ref="A65:A68"/>
    <mergeCell ref="B65:B66"/>
    <mergeCell ref="C65:D65"/>
    <mergeCell ref="E65:F66"/>
    <mergeCell ref="G65:I66"/>
    <mergeCell ref="B67:B68"/>
    <mergeCell ref="C67:D67"/>
    <mergeCell ref="E67:F68"/>
    <mergeCell ref="G67:I68"/>
    <mergeCell ref="C68:D68"/>
    <mergeCell ref="C62:D62"/>
    <mergeCell ref="E62:F63"/>
    <mergeCell ref="G62:I63"/>
    <mergeCell ref="C63:D63"/>
    <mergeCell ref="A64:F64"/>
    <mergeCell ref="G64:I64"/>
    <mergeCell ref="G57:I58"/>
    <mergeCell ref="C58:D58"/>
    <mergeCell ref="A59:F59"/>
    <mergeCell ref="G59:I59"/>
    <mergeCell ref="A60:A63"/>
    <mergeCell ref="B60:B61"/>
    <mergeCell ref="C60:D60"/>
    <mergeCell ref="E60:F61"/>
    <mergeCell ref="G60:I61"/>
    <mergeCell ref="B62:B63"/>
    <mergeCell ref="A54:F54"/>
    <mergeCell ref="G54:I54"/>
    <mergeCell ref="A55:A58"/>
    <mergeCell ref="B55:B56"/>
    <mergeCell ref="C55:D55"/>
    <mergeCell ref="E55:F56"/>
    <mergeCell ref="G55:I56"/>
    <mergeCell ref="B57:B58"/>
    <mergeCell ref="C57:D57"/>
    <mergeCell ref="E57:F58"/>
    <mergeCell ref="A50:A53"/>
    <mergeCell ref="B50:B51"/>
    <mergeCell ref="C50:D50"/>
    <mergeCell ref="E50:F51"/>
    <mergeCell ref="G50:I51"/>
    <mergeCell ref="B52:B53"/>
    <mergeCell ref="C52:D52"/>
    <mergeCell ref="E52:F53"/>
    <mergeCell ref="G52:I53"/>
    <mergeCell ref="C53:D53"/>
    <mergeCell ref="A49:F49"/>
    <mergeCell ref="G49:I49"/>
    <mergeCell ref="E43:F43"/>
    <mergeCell ref="G43:I43"/>
    <mergeCell ref="C44:D44"/>
    <mergeCell ref="E44:F44"/>
    <mergeCell ref="G44:I44"/>
    <mergeCell ref="A45:A48"/>
    <mergeCell ref="B45:B46"/>
    <mergeCell ref="C45:D45"/>
    <mergeCell ref="E45:F46"/>
    <mergeCell ref="G45:I46"/>
    <mergeCell ref="A39:F39"/>
    <mergeCell ref="G39:I39"/>
    <mergeCell ref="A41:I41"/>
    <mergeCell ref="A42:B44"/>
    <mergeCell ref="C42:D42"/>
    <mergeCell ref="E42:F42"/>
    <mergeCell ref="G42:I42"/>
    <mergeCell ref="C43:D43"/>
    <mergeCell ref="B47:B48"/>
    <mergeCell ref="C47:D47"/>
    <mergeCell ref="E47:F48"/>
    <mergeCell ref="G47:I48"/>
    <mergeCell ref="C48:D48"/>
    <mergeCell ref="A34:F34"/>
    <mergeCell ref="G34:I34"/>
    <mergeCell ref="A35:A38"/>
    <mergeCell ref="B35:B36"/>
    <mergeCell ref="C35:D35"/>
    <mergeCell ref="E35:F36"/>
    <mergeCell ref="G35:I36"/>
    <mergeCell ref="B37:B38"/>
    <mergeCell ref="C37:D37"/>
    <mergeCell ref="E37:F38"/>
    <mergeCell ref="G37:I38"/>
    <mergeCell ref="C38:D38"/>
    <mergeCell ref="A30:A33"/>
    <mergeCell ref="B30:B31"/>
    <mergeCell ref="C30:D30"/>
    <mergeCell ref="E30:F31"/>
    <mergeCell ref="G30:I31"/>
    <mergeCell ref="B32:B33"/>
    <mergeCell ref="C32:D32"/>
    <mergeCell ref="E32:F33"/>
    <mergeCell ref="G32:I33"/>
    <mergeCell ref="C33:D33"/>
    <mergeCell ref="C27:D27"/>
    <mergeCell ref="E27:F28"/>
    <mergeCell ref="G27:I28"/>
    <mergeCell ref="C28:D28"/>
    <mergeCell ref="A29:F29"/>
    <mergeCell ref="G29:I29"/>
    <mergeCell ref="G22:I23"/>
    <mergeCell ref="C23:D23"/>
    <mergeCell ref="A24:F24"/>
    <mergeCell ref="G24:I24"/>
    <mergeCell ref="A25:A28"/>
    <mergeCell ref="B25:B26"/>
    <mergeCell ref="C25:D25"/>
    <mergeCell ref="E25:F26"/>
    <mergeCell ref="G25:I26"/>
    <mergeCell ref="B27:B28"/>
    <mergeCell ref="A19:F19"/>
    <mergeCell ref="G19:I19"/>
    <mergeCell ref="A20:A23"/>
    <mergeCell ref="B20:B21"/>
    <mergeCell ref="C20:D20"/>
    <mergeCell ref="E20:F21"/>
    <mergeCell ref="G20:I21"/>
    <mergeCell ref="B22:B23"/>
    <mergeCell ref="C22:D22"/>
    <mergeCell ref="E22:F23"/>
    <mergeCell ref="A15:A18"/>
    <mergeCell ref="B15:B16"/>
    <mergeCell ref="C15:D15"/>
    <mergeCell ref="E15:F16"/>
    <mergeCell ref="G15:I16"/>
    <mergeCell ref="B17:B18"/>
    <mergeCell ref="C17:D17"/>
    <mergeCell ref="E17:F18"/>
    <mergeCell ref="G17:I18"/>
    <mergeCell ref="C18:D18"/>
    <mergeCell ref="C12:D12"/>
    <mergeCell ref="E12:F13"/>
    <mergeCell ref="G12:I13"/>
    <mergeCell ref="C13:D13"/>
    <mergeCell ref="A14:F14"/>
    <mergeCell ref="G14:I14"/>
    <mergeCell ref="G8:I8"/>
    <mergeCell ref="C9:D9"/>
    <mergeCell ref="E9:F9"/>
    <mergeCell ref="G9:I9"/>
    <mergeCell ref="A10:A13"/>
    <mergeCell ref="B10:B11"/>
    <mergeCell ref="C10:D10"/>
    <mergeCell ref="E10:F11"/>
    <mergeCell ref="G10:I11"/>
    <mergeCell ref="B12:B13"/>
    <mergeCell ref="A2:I2"/>
    <mergeCell ref="A3:I3"/>
    <mergeCell ref="A4:I4"/>
    <mergeCell ref="A6:I6"/>
    <mergeCell ref="A7:B9"/>
    <mergeCell ref="C7:D7"/>
    <mergeCell ref="E7:F7"/>
    <mergeCell ref="G7:I7"/>
    <mergeCell ref="C8:D8"/>
    <mergeCell ref="E8:F8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1:O115"/>
  <sheetViews>
    <sheetView view="pageBreakPreview" topLeftCell="A73" zoomScaleNormal="100" zoomScaleSheetLayoutView="100" workbookViewId="0">
      <selection activeCell="A3" sqref="A3:XFD4"/>
    </sheetView>
  </sheetViews>
  <sheetFormatPr defaultColWidth="9.140625" defaultRowHeight="15"/>
  <cols>
    <col min="1" max="1" width="8.140625" style="109" customWidth="1"/>
    <col min="2" max="2" width="9" style="109" customWidth="1"/>
    <col min="3" max="3" width="22.85546875" style="109" customWidth="1"/>
    <col min="4" max="4" width="7" style="109" customWidth="1"/>
    <col min="5" max="5" width="10.85546875" style="109" customWidth="1"/>
    <col min="6" max="6" width="10.42578125" style="109" customWidth="1"/>
    <col min="7" max="7" width="10.7109375" style="109" customWidth="1"/>
    <col min="8" max="8" width="13.7109375" style="146" customWidth="1"/>
    <col min="9" max="9" width="9" style="147" bestFit="1" customWidth="1"/>
    <col min="10" max="10" width="10.42578125" style="109" customWidth="1"/>
    <col min="11" max="11" width="16.7109375" style="116" customWidth="1"/>
    <col min="12" max="12" width="11.5703125" style="109" customWidth="1"/>
    <col min="13" max="13" width="12.140625" style="109" bestFit="1" customWidth="1"/>
    <col min="14" max="15" width="9.140625" style="109"/>
    <col min="16" max="16384" width="9.140625" style="307"/>
  </cols>
  <sheetData>
    <row r="1" spans="1:15">
      <c r="A1" s="602" t="s">
        <v>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5">
      <c r="A2" s="603"/>
      <c r="B2" s="604"/>
      <c r="C2" s="604"/>
      <c r="D2" s="604"/>
      <c r="E2" s="604"/>
      <c r="F2" s="604"/>
      <c r="G2" s="604"/>
      <c r="H2" s="604"/>
      <c r="I2" s="604"/>
      <c r="J2" s="604"/>
      <c r="K2" s="605"/>
      <c r="L2" s="308"/>
      <c r="M2" s="308"/>
      <c r="N2" s="308"/>
      <c r="O2" s="308"/>
    </row>
    <row r="3" spans="1:15">
      <c r="A3" s="616" t="s">
        <v>454</v>
      </c>
      <c r="B3" s="617"/>
      <c r="C3" s="617"/>
      <c r="D3" s="617"/>
      <c r="E3" s="617"/>
      <c r="F3" s="617"/>
      <c r="G3" s="617"/>
      <c r="H3" s="617"/>
      <c r="I3" s="617"/>
      <c r="J3" s="618"/>
      <c r="K3" s="379" t="s">
        <v>455</v>
      </c>
      <c r="L3" s="307"/>
      <c r="M3" s="307"/>
      <c r="N3" s="307"/>
      <c r="O3" s="307"/>
    </row>
    <row r="4" spans="1:15">
      <c r="A4" s="619" t="s">
        <v>456</v>
      </c>
      <c r="B4" s="620"/>
      <c r="C4" s="620"/>
      <c r="D4" s="620"/>
      <c r="E4" s="620"/>
      <c r="F4" s="620"/>
      <c r="G4" s="620"/>
      <c r="H4" s="620"/>
      <c r="I4" s="620"/>
      <c r="J4" s="621"/>
      <c r="K4" s="379" t="s">
        <v>457</v>
      </c>
      <c r="L4" s="307"/>
      <c r="M4" s="307"/>
      <c r="N4" s="307"/>
      <c r="O4" s="307"/>
    </row>
    <row r="5" spans="1:15" ht="27" customHeight="1">
      <c r="A5" s="606" t="s">
        <v>452</v>
      </c>
      <c r="B5" s="607"/>
      <c r="C5" s="607"/>
      <c r="D5" s="607"/>
      <c r="E5" s="607"/>
      <c r="F5" s="607"/>
      <c r="G5" s="607"/>
      <c r="H5" s="607"/>
      <c r="I5" s="608" t="s">
        <v>449</v>
      </c>
      <c r="J5" s="609"/>
      <c r="K5" s="610"/>
    </row>
    <row r="6" spans="1:15" s="324" customFormat="1">
      <c r="A6" s="614" t="s">
        <v>395</v>
      </c>
      <c r="B6" s="615"/>
      <c r="C6" s="615"/>
      <c r="D6" s="615"/>
      <c r="E6" s="615"/>
      <c r="F6" s="615"/>
      <c r="G6" s="615"/>
      <c r="H6" s="325">
        <v>998</v>
      </c>
      <c r="I6" s="611"/>
      <c r="J6" s="612"/>
      <c r="K6" s="613"/>
      <c r="L6" s="323"/>
      <c r="M6" s="323"/>
      <c r="N6" s="323"/>
      <c r="O6" s="323"/>
    </row>
    <row r="7" spans="1:15">
      <c r="A7" s="631" t="s">
        <v>3</v>
      </c>
      <c r="B7" s="632"/>
      <c r="C7" s="632"/>
      <c r="D7" s="632"/>
      <c r="E7" s="632"/>
      <c r="F7" s="632"/>
      <c r="G7" s="632"/>
      <c r="H7" s="632"/>
      <c r="I7" s="632"/>
      <c r="J7" s="632"/>
      <c r="K7" s="304">
        <v>1210</v>
      </c>
      <c r="M7" s="111"/>
    </row>
    <row r="8" spans="1:15">
      <c r="A8" s="376" t="s">
        <v>4</v>
      </c>
      <c r="B8" s="633" t="s">
        <v>401</v>
      </c>
      <c r="C8" s="633"/>
      <c r="D8" s="633"/>
      <c r="E8" s="633"/>
      <c r="F8" s="633"/>
      <c r="G8" s="633"/>
      <c r="H8" s="633"/>
      <c r="I8" s="633"/>
      <c r="J8" s="633"/>
      <c r="K8" s="337">
        <f>K7/44*24</f>
        <v>660</v>
      </c>
      <c r="L8" s="330"/>
      <c r="M8" s="111"/>
    </row>
    <row r="9" spans="1:15">
      <c r="A9" s="376" t="s">
        <v>6</v>
      </c>
      <c r="B9" s="366" t="s">
        <v>436</v>
      </c>
      <c r="C9" s="367"/>
      <c r="D9" s="367"/>
      <c r="E9" s="367"/>
      <c r="F9" s="367"/>
      <c r="G9" s="367"/>
      <c r="H9" s="367"/>
      <c r="I9" s="367"/>
      <c r="J9" s="368">
        <v>0</v>
      </c>
      <c r="K9" s="337">
        <v>0</v>
      </c>
      <c r="L9" s="330"/>
      <c r="M9" s="111"/>
    </row>
    <row r="10" spans="1:15">
      <c r="A10" s="376"/>
      <c r="B10" s="634" t="s">
        <v>220</v>
      </c>
      <c r="C10" s="635"/>
      <c r="D10" s="635"/>
      <c r="E10" s="635"/>
      <c r="F10" s="635"/>
      <c r="G10" s="635"/>
      <c r="H10" s="635"/>
      <c r="I10" s="635"/>
      <c r="J10" s="636"/>
      <c r="K10" s="305">
        <f>SUM(K8:K9)</f>
        <v>660</v>
      </c>
      <c r="L10" s="113"/>
    </row>
    <row r="11" spans="1:15">
      <c r="A11" s="637" t="s">
        <v>208</v>
      </c>
      <c r="B11" s="637"/>
      <c r="C11" s="637"/>
      <c r="D11" s="637"/>
      <c r="E11" s="637"/>
      <c r="F11" s="637"/>
      <c r="G11" s="637"/>
      <c r="H11" s="637"/>
      <c r="I11" s="637"/>
      <c r="J11" s="637"/>
      <c r="K11" s="114">
        <f>SUM(K10:K10)</f>
        <v>660</v>
      </c>
      <c r="L11" s="115"/>
    </row>
    <row r="12" spans="1:15">
      <c r="A12" s="638" t="s">
        <v>161</v>
      </c>
      <c r="B12" s="638"/>
      <c r="C12" s="638"/>
      <c r="D12" s="638"/>
      <c r="E12" s="638"/>
      <c r="F12" s="638"/>
      <c r="G12" s="638"/>
      <c r="H12" s="638"/>
      <c r="I12" s="638"/>
      <c r="J12" s="638"/>
      <c r="K12" s="110"/>
    </row>
    <row r="13" spans="1:15">
      <c r="A13" s="628" t="s">
        <v>162</v>
      </c>
      <c r="B13" s="629"/>
      <c r="C13" s="629"/>
      <c r="D13" s="629"/>
      <c r="E13" s="629"/>
      <c r="F13" s="629"/>
      <c r="G13" s="629"/>
      <c r="H13" s="629"/>
      <c r="I13" s="629"/>
      <c r="J13" s="117" t="s">
        <v>9</v>
      </c>
      <c r="K13" s="112" t="s">
        <v>166</v>
      </c>
    </row>
    <row r="14" spans="1:15">
      <c r="A14" s="376" t="s">
        <v>4</v>
      </c>
      <c r="B14" s="622" t="s">
        <v>163</v>
      </c>
      <c r="C14" s="623"/>
      <c r="D14" s="623"/>
      <c r="E14" s="623"/>
      <c r="F14" s="623"/>
      <c r="G14" s="623"/>
      <c r="H14" s="623"/>
      <c r="I14" s="624"/>
      <c r="J14" s="118">
        <v>8.3299999999999999E-2</v>
      </c>
      <c r="K14" s="119">
        <f>ROUND($J14*K$11,2)</f>
        <v>54.98</v>
      </c>
    </row>
    <row r="15" spans="1:15">
      <c r="A15" s="376" t="s">
        <v>6</v>
      </c>
      <c r="B15" s="622" t="s">
        <v>164</v>
      </c>
      <c r="C15" s="623"/>
      <c r="D15" s="623"/>
      <c r="E15" s="623"/>
      <c r="F15" s="623"/>
      <c r="G15" s="623"/>
      <c r="H15" s="623"/>
      <c r="I15" s="624"/>
      <c r="J15" s="118">
        <f>J54*33.33%</f>
        <v>2.7774999999999998E-2</v>
      </c>
      <c r="K15" s="119">
        <f>ROUND($J15*K$11,2)</f>
        <v>18.329999999999998</v>
      </c>
      <c r="M15" s="109" t="s">
        <v>233</v>
      </c>
    </row>
    <row r="16" spans="1:15">
      <c r="A16" s="376" t="s">
        <v>10</v>
      </c>
      <c r="B16" s="370" t="s">
        <v>213</v>
      </c>
      <c r="C16" s="370"/>
      <c r="D16" s="370"/>
      <c r="E16" s="370"/>
      <c r="F16" s="370"/>
      <c r="G16" s="370"/>
      <c r="H16" s="370"/>
      <c r="I16" s="371"/>
      <c r="J16" s="118">
        <f>SUM(J14:J15)</f>
        <v>0.11107499999999999</v>
      </c>
      <c r="K16" s="112">
        <f>SUM(K14:K15)</f>
        <v>73.31</v>
      </c>
    </row>
    <row r="17" spans="1:15">
      <c r="A17" s="376" t="s">
        <v>12</v>
      </c>
      <c r="B17" s="332" t="s">
        <v>402</v>
      </c>
      <c r="C17" s="332"/>
      <c r="D17" s="332"/>
      <c r="E17" s="332"/>
      <c r="F17" s="332"/>
      <c r="G17" s="332"/>
      <c r="H17" s="332"/>
      <c r="I17" s="333"/>
      <c r="J17" s="334">
        <f>J16*J28</f>
        <v>4.0875600000000012E-2</v>
      </c>
      <c r="K17" s="335">
        <f>ROUND($J17*K$11,2)</f>
        <v>26.98</v>
      </c>
    </row>
    <row r="18" spans="1:15">
      <c r="A18" s="625" t="s">
        <v>165</v>
      </c>
      <c r="B18" s="626"/>
      <c r="C18" s="626"/>
      <c r="D18" s="626"/>
      <c r="E18" s="626"/>
      <c r="F18" s="626"/>
      <c r="G18" s="626"/>
      <c r="H18" s="626"/>
      <c r="I18" s="627"/>
      <c r="J18" s="125">
        <f>SUM(J16:J17)</f>
        <v>0.15195059999999999</v>
      </c>
      <c r="K18" s="126">
        <f>SUM(K16:K17)</f>
        <v>100.29</v>
      </c>
    </row>
    <row r="19" spans="1:15">
      <c r="A19" s="628" t="s">
        <v>167</v>
      </c>
      <c r="B19" s="629"/>
      <c r="C19" s="629"/>
      <c r="D19" s="629"/>
      <c r="E19" s="629"/>
      <c r="F19" s="629"/>
      <c r="G19" s="629"/>
      <c r="H19" s="629"/>
      <c r="I19" s="629"/>
      <c r="J19" s="117" t="s">
        <v>9</v>
      </c>
      <c r="K19" s="112" t="s">
        <v>166</v>
      </c>
    </row>
    <row r="20" spans="1:15">
      <c r="A20" s="376" t="s">
        <v>4</v>
      </c>
      <c r="B20" s="630" t="s">
        <v>17</v>
      </c>
      <c r="C20" s="630"/>
      <c r="D20" s="630"/>
      <c r="E20" s="630"/>
      <c r="F20" s="630"/>
      <c r="G20" s="630"/>
      <c r="H20" s="630"/>
      <c r="I20" s="630"/>
      <c r="J20" s="103">
        <v>0.2</v>
      </c>
      <c r="K20" s="119">
        <f>ROUND($J$20*K11,2)</f>
        <v>132</v>
      </c>
    </row>
    <row r="21" spans="1:15">
      <c r="A21" s="376" t="s">
        <v>6</v>
      </c>
      <c r="B21" s="630" t="s">
        <v>18</v>
      </c>
      <c r="C21" s="630"/>
      <c r="D21" s="630"/>
      <c r="E21" s="630"/>
      <c r="F21" s="630"/>
      <c r="G21" s="630"/>
      <c r="H21" s="630"/>
      <c r="I21" s="630"/>
      <c r="J21" s="103">
        <v>1.4999999999999999E-2</v>
      </c>
      <c r="K21" s="119">
        <f>ROUND($J$21*K11,2)</f>
        <v>9.9</v>
      </c>
    </row>
    <row r="22" spans="1:15">
      <c r="A22" s="376" t="s">
        <v>10</v>
      </c>
      <c r="B22" s="630" t="s">
        <v>19</v>
      </c>
      <c r="C22" s="630"/>
      <c r="D22" s="630"/>
      <c r="E22" s="630"/>
      <c r="F22" s="630"/>
      <c r="G22" s="630"/>
      <c r="H22" s="630"/>
      <c r="I22" s="630"/>
      <c r="J22" s="103">
        <v>0.01</v>
      </c>
      <c r="K22" s="119">
        <f t="shared" ref="K22:K27" si="0">ROUND(J22*$K$11,2)</f>
        <v>6.6</v>
      </c>
    </row>
    <row r="23" spans="1:15">
      <c r="A23" s="376" t="s">
        <v>12</v>
      </c>
      <c r="B23" s="630" t="s">
        <v>20</v>
      </c>
      <c r="C23" s="630"/>
      <c r="D23" s="630"/>
      <c r="E23" s="630"/>
      <c r="F23" s="630"/>
      <c r="G23" s="630"/>
      <c r="H23" s="630"/>
      <c r="I23" s="630"/>
      <c r="J23" s="103">
        <v>2E-3</v>
      </c>
      <c r="K23" s="119">
        <f t="shared" si="0"/>
        <v>1.32</v>
      </c>
    </row>
    <row r="24" spans="1:15">
      <c r="A24" s="376" t="s">
        <v>14</v>
      </c>
      <c r="B24" s="630" t="s">
        <v>21</v>
      </c>
      <c r="C24" s="630"/>
      <c r="D24" s="630"/>
      <c r="E24" s="630"/>
      <c r="F24" s="630"/>
      <c r="G24" s="630"/>
      <c r="H24" s="630"/>
      <c r="I24" s="630"/>
      <c r="J24" s="103">
        <v>2.5000000000000001E-2</v>
      </c>
      <c r="K24" s="119">
        <f t="shared" si="0"/>
        <v>16.5</v>
      </c>
      <c r="L24" s="120"/>
    </row>
    <row r="25" spans="1:15">
      <c r="A25" s="376" t="s">
        <v>1</v>
      </c>
      <c r="B25" s="622" t="s">
        <v>153</v>
      </c>
      <c r="C25" s="624"/>
      <c r="D25" s="642">
        <v>0.08</v>
      </c>
      <c r="E25" s="643"/>
      <c r="F25" s="622"/>
      <c r="G25" s="623"/>
      <c r="H25" s="623"/>
      <c r="I25" s="624"/>
      <c r="J25" s="103">
        <v>0.08</v>
      </c>
      <c r="K25" s="119">
        <f t="shared" si="0"/>
        <v>52.8</v>
      </c>
      <c r="L25" s="121"/>
    </row>
    <row r="26" spans="1:15">
      <c r="A26" s="376" t="s">
        <v>15</v>
      </c>
      <c r="B26" s="630" t="s">
        <v>22</v>
      </c>
      <c r="C26" s="630"/>
      <c r="D26" s="630"/>
      <c r="E26" s="630"/>
      <c r="F26" s="369" t="s">
        <v>23</v>
      </c>
      <c r="G26" s="122">
        <v>0.03</v>
      </c>
      <c r="H26" s="369" t="s">
        <v>24</v>
      </c>
      <c r="I26" s="306">
        <v>1</v>
      </c>
      <c r="J26" s="104">
        <f>G26*I26</f>
        <v>0.03</v>
      </c>
      <c r="K26" s="119">
        <f t="shared" si="0"/>
        <v>19.8</v>
      </c>
    </row>
    <row r="27" spans="1:15">
      <c r="A27" s="376" t="s">
        <v>16</v>
      </c>
      <c r="B27" s="630" t="s">
        <v>25</v>
      </c>
      <c r="C27" s="630"/>
      <c r="D27" s="630"/>
      <c r="E27" s="630"/>
      <c r="F27" s="630"/>
      <c r="G27" s="630"/>
      <c r="H27" s="630"/>
      <c r="I27" s="630"/>
      <c r="J27" s="103">
        <v>6.0000000000000001E-3</v>
      </c>
      <c r="K27" s="119">
        <f t="shared" si="0"/>
        <v>3.96</v>
      </c>
      <c r="L27" s="308"/>
      <c r="M27" s="308"/>
      <c r="N27" s="308"/>
      <c r="O27" s="308"/>
    </row>
    <row r="28" spans="1:15">
      <c r="A28" s="625" t="s">
        <v>169</v>
      </c>
      <c r="B28" s="626"/>
      <c r="C28" s="626"/>
      <c r="D28" s="626"/>
      <c r="E28" s="626"/>
      <c r="F28" s="626"/>
      <c r="G28" s="626"/>
      <c r="H28" s="626"/>
      <c r="I28" s="627"/>
      <c r="J28" s="125">
        <f>SUM(J20:J27)</f>
        <v>0.3680000000000001</v>
      </c>
      <c r="K28" s="126">
        <f>SUM(K20:K27)</f>
        <v>242.88000000000002</v>
      </c>
      <c r="L28" s="308"/>
      <c r="M28" s="308"/>
      <c r="N28" s="308"/>
      <c r="O28" s="308"/>
    </row>
    <row r="29" spans="1:15">
      <c r="A29" s="628" t="s">
        <v>170</v>
      </c>
      <c r="B29" s="629"/>
      <c r="C29" s="629"/>
      <c r="D29" s="629"/>
      <c r="E29" s="629"/>
      <c r="F29" s="629"/>
      <c r="G29" s="629"/>
      <c r="H29" s="629"/>
      <c r="I29" s="629"/>
      <c r="J29" s="117"/>
      <c r="K29" s="112" t="s">
        <v>166</v>
      </c>
    </row>
    <row r="30" spans="1:15">
      <c r="A30" s="376" t="s">
        <v>4</v>
      </c>
      <c r="B30" s="150" t="s">
        <v>439</v>
      </c>
      <c r="C30" s="151"/>
      <c r="D30" s="151"/>
      <c r="E30" s="151"/>
      <c r="F30" s="151"/>
      <c r="G30" s="151"/>
      <c r="H30" s="151"/>
      <c r="I30" s="152">
        <v>1</v>
      </c>
      <c r="J30" s="153">
        <f>400</f>
        <v>400</v>
      </c>
      <c r="K30" s="123">
        <f>(J30*I30)*80%</f>
        <v>320</v>
      </c>
    </row>
    <row r="31" spans="1:15">
      <c r="A31" s="376" t="s">
        <v>437</v>
      </c>
      <c r="B31" s="150" t="s">
        <v>438</v>
      </c>
      <c r="C31" s="151"/>
      <c r="D31" s="151"/>
      <c r="E31" s="151"/>
      <c r="F31" s="151"/>
      <c r="G31" s="151"/>
      <c r="H31" s="151"/>
      <c r="I31" s="152">
        <v>1</v>
      </c>
      <c r="J31" s="153">
        <f>400/12</f>
        <v>33.333333333333336</v>
      </c>
      <c r="K31" s="123">
        <f>(J31*I31)*80%</f>
        <v>26.666666666666671</v>
      </c>
    </row>
    <row r="32" spans="1:15">
      <c r="A32" s="376" t="s">
        <v>6</v>
      </c>
      <c r="B32" s="639" t="s">
        <v>218</v>
      </c>
      <c r="C32" s="640"/>
      <c r="D32" s="640"/>
      <c r="E32" s="640"/>
      <c r="F32" s="640"/>
      <c r="G32" s="640"/>
      <c r="H32" s="154"/>
      <c r="I32" s="155">
        <v>16</v>
      </c>
      <c r="J32" s="327">
        <v>4.5</v>
      </c>
      <c r="K32" s="123">
        <f>I32*2*J32</f>
        <v>144</v>
      </c>
    </row>
    <row r="33" spans="1:11">
      <c r="A33" s="376" t="s">
        <v>10</v>
      </c>
      <c r="B33" s="639" t="s">
        <v>219</v>
      </c>
      <c r="C33" s="640"/>
      <c r="D33" s="640"/>
      <c r="E33" s="640"/>
      <c r="F33" s="640"/>
      <c r="G33" s="640"/>
      <c r="H33" s="640"/>
      <c r="I33" s="641"/>
      <c r="J33" s="156">
        <v>-0.06</v>
      </c>
      <c r="K33" s="157">
        <f>K8*J33</f>
        <v>-39.6</v>
      </c>
    </row>
    <row r="34" spans="1:11">
      <c r="A34" s="328" t="s">
        <v>12</v>
      </c>
      <c r="B34" s="639" t="s">
        <v>440</v>
      </c>
      <c r="C34" s="640"/>
      <c r="D34" s="640"/>
      <c r="E34" s="640"/>
      <c r="F34" s="640"/>
      <c r="G34" s="640"/>
      <c r="H34" s="640"/>
      <c r="I34" s="641"/>
      <c r="J34" s="338"/>
      <c r="K34" s="339">
        <v>60</v>
      </c>
    </row>
    <row r="35" spans="1:11">
      <c r="A35" s="328" t="s">
        <v>14</v>
      </c>
      <c r="B35" s="639" t="s">
        <v>423</v>
      </c>
      <c r="C35" s="640"/>
      <c r="D35" s="640"/>
      <c r="E35" s="640"/>
      <c r="F35" s="640"/>
      <c r="G35" s="640"/>
      <c r="H35" s="640"/>
      <c r="I35" s="641"/>
      <c r="J35" s="338"/>
      <c r="K35" s="339">
        <v>20</v>
      </c>
    </row>
    <row r="36" spans="1:11">
      <c r="A36" s="328" t="s">
        <v>1</v>
      </c>
      <c r="B36" s="639" t="s">
        <v>441</v>
      </c>
      <c r="C36" s="640"/>
      <c r="D36" s="640"/>
      <c r="E36" s="640"/>
      <c r="F36" s="640"/>
      <c r="G36" s="640"/>
      <c r="H36" s="640"/>
      <c r="I36" s="641"/>
      <c r="J36" s="338"/>
      <c r="K36" s="339">
        <v>20</v>
      </c>
    </row>
    <row r="37" spans="1:11">
      <c r="A37" s="376" t="s">
        <v>15</v>
      </c>
      <c r="B37" s="639"/>
      <c r="C37" s="640"/>
      <c r="D37" s="640"/>
      <c r="E37" s="640"/>
      <c r="F37" s="640"/>
      <c r="G37" s="640"/>
      <c r="H37" s="640"/>
      <c r="I37" s="641"/>
      <c r="J37" s="369"/>
      <c r="K37" s="112"/>
    </row>
    <row r="38" spans="1:11" s="109" customFormat="1" ht="12.75">
      <c r="A38" s="376" t="s">
        <v>16</v>
      </c>
      <c r="B38" s="644" t="s">
        <v>0</v>
      </c>
      <c r="C38" s="645"/>
      <c r="D38" s="645"/>
      <c r="E38" s="645"/>
      <c r="F38" s="645"/>
      <c r="G38" s="645"/>
      <c r="H38" s="645"/>
      <c r="I38" s="645"/>
      <c r="J38" s="646"/>
      <c r="K38" s="124">
        <v>0</v>
      </c>
    </row>
    <row r="39" spans="1:11" s="109" customFormat="1" ht="12.75">
      <c r="A39" s="625" t="s">
        <v>172</v>
      </c>
      <c r="B39" s="626"/>
      <c r="C39" s="626"/>
      <c r="D39" s="626"/>
      <c r="E39" s="626"/>
      <c r="F39" s="626"/>
      <c r="G39" s="626"/>
      <c r="H39" s="626"/>
      <c r="I39" s="627"/>
      <c r="J39" s="125"/>
      <c r="K39" s="126">
        <f>SUM(K30:K38)</f>
        <v>551.06666666666661</v>
      </c>
    </row>
    <row r="40" spans="1:11" s="109" customFormat="1" ht="12.75">
      <c r="A40" s="638" t="s">
        <v>173</v>
      </c>
      <c r="B40" s="638"/>
      <c r="C40" s="638"/>
      <c r="D40" s="638"/>
      <c r="E40" s="638"/>
      <c r="F40" s="638"/>
      <c r="G40" s="638"/>
      <c r="H40" s="638"/>
      <c r="I40" s="638"/>
      <c r="J40" s="638"/>
      <c r="K40" s="128" t="s">
        <v>166</v>
      </c>
    </row>
    <row r="41" spans="1:11" s="109" customFormat="1" ht="12.75">
      <c r="A41" s="376" t="s">
        <v>174</v>
      </c>
      <c r="B41" s="622" t="s">
        <v>177</v>
      </c>
      <c r="C41" s="623"/>
      <c r="D41" s="623"/>
      <c r="E41" s="623"/>
      <c r="F41" s="623"/>
      <c r="G41" s="623"/>
      <c r="H41" s="623"/>
      <c r="I41" s="624"/>
      <c r="J41" s="372"/>
      <c r="K41" s="112">
        <f>K18</f>
        <v>100.29</v>
      </c>
    </row>
    <row r="42" spans="1:11" s="109" customFormat="1" ht="12.75">
      <c r="A42" s="376" t="s">
        <v>175</v>
      </c>
      <c r="B42" s="622" t="s">
        <v>178</v>
      </c>
      <c r="C42" s="623"/>
      <c r="D42" s="623"/>
      <c r="E42" s="623"/>
      <c r="F42" s="623"/>
      <c r="G42" s="623"/>
      <c r="H42" s="623"/>
      <c r="I42" s="624"/>
      <c r="J42" s="372"/>
      <c r="K42" s="112">
        <f>K28</f>
        <v>242.88000000000002</v>
      </c>
    </row>
    <row r="43" spans="1:11" s="109" customFormat="1" ht="12.75">
      <c r="A43" s="376" t="s">
        <v>176</v>
      </c>
      <c r="B43" s="622" t="s">
        <v>180</v>
      </c>
      <c r="C43" s="623"/>
      <c r="D43" s="623"/>
      <c r="E43" s="623"/>
      <c r="F43" s="623"/>
      <c r="G43" s="623"/>
      <c r="H43" s="623"/>
      <c r="I43" s="624"/>
      <c r="J43" s="372"/>
      <c r="K43" s="112">
        <f>K39</f>
        <v>551.06666666666661</v>
      </c>
    </row>
    <row r="44" spans="1:11" s="109" customFormat="1" ht="12.75">
      <c r="A44" s="625" t="s">
        <v>179</v>
      </c>
      <c r="B44" s="626"/>
      <c r="C44" s="626"/>
      <c r="D44" s="626"/>
      <c r="E44" s="626"/>
      <c r="F44" s="626"/>
      <c r="G44" s="626"/>
      <c r="H44" s="626"/>
      <c r="I44" s="627"/>
      <c r="J44" s="125"/>
      <c r="K44" s="126">
        <f>SUM(K41:K43)</f>
        <v>894.23666666666668</v>
      </c>
    </row>
    <row r="45" spans="1:11" s="109" customFormat="1" ht="12.75">
      <c r="A45" s="638" t="s">
        <v>171</v>
      </c>
      <c r="B45" s="638"/>
      <c r="C45" s="638"/>
      <c r="D45" s="638"/>
      <c r="E45" s="638"/>
      <c r="F45" s="638"/>
      <c r="G45" s="638"/>
      <c r="H45" s="638"/>
      <c r="I45" s="638"/>
      <c r="J45" s="127" t="s">
        <v>9</v>
      </c>
      <c r="K45" s="128" t="s">
        <v>166</v>
      </c>
    </row>
    <row r="46" spans="1:11" s="109" customFormat="1" ht="12.75">
      <c r="A46" s="376" t="s">
        <v>4</v>
      </c>
      <c r="B46" s="630" t="s">
        <v>26</v>
      </c>
      <c r="C46" s="630"/>
      <c r="D46" s="630"/>
      <c r="E46" s="630"/>
      <c r="F46" s="630"/>
      <c r="G46" s="630"/>
      <c r="H46" s="129">
        <v>30</v>
      </c>
      <c r="I46" s="130">
        <v>0.05</v>
      </c>
      <c r="J46" s="118">
        <f>H46/30/12*I46</f>
        <v>4.1666666666666666E-3</v>
      </c>
      <c r="K46" s="112">
        <f>ROUND(J46*$K$11,2)</f>
        <v>2.75</v>
      </c>
    </row>
    <row r="47" spans="1:11" s="109" customFormat="1" ht="12.75">
      <c r="A47" s="376" t="s">
        <v>6</v>
      </c>
      <c r="B47" s="630" t="s">
        <v>27</v>
      </c>
      <c r="C47" s="630"/>
      <c r="D47" s="630"/>
      <c r="E47" s="630"/>
      <c r="F47" s="630"/>
      <c r="G47" s="630"/>
      <c r="H47" s="630"/>
      <c r="I47" s="630"/>
      <c r="J47" s="118">
        <f>J25*J46</f>
        <v>3.3333333333333332E-4</v>
      </c>
      <c r="K47" s="112">
        <f>ROUND(J47*$K$11,2)</f>
        <v>0.22</v>
      </c>
    </row>
    <row r="48" spans="1:11" s="109" customFormat="1" ht="12.75">
      <c r="A48" s="376" t="s">
        <v>10</v>
      </c>
      <c r="B48" s="630" t="s">
        <v>184</v>
      </c>
      <c r="C48" s="630"/>
      <c r="D48" s="630"/>
      <c r="E48" s="630"/>
      <c r="F48" s="630"/>
      <c r="G48" s="630"/>
      <c r="H48" s="630"/>
      <c r="I48" s="630"/>
      <c r="J48" s="118">
        <f>(1/30)/12*7</f>
        <v>1.9444444444444445E-2</v>
      </c>
      <c r="K48" s="112">
        <f>ROUND(J48*$K$11,2)</f>
        <v>12.83</v>
      </c>
    </row>
    <row r="49" spans="1:15" s="109" customFormat="1" ht="12.75">
      <c r="A49" s="376" t="s">
        <v>12</v>
      </c>
      <c r="B49" s="630" t="s">
        <v>183</v>
      </c>
      <c r="C49" s="630"/>
      <c r="D49" s="630"/>
      <c r="E49" s="630"/>
      <c r="F49" s="630"/>
      <c r="G49" s="630"/>
      <c r="H49" s="630"/>
      <c r="I49" s="630"/>
      <c r="J49" s="118">
        <f>J28*J48</f>
        <v>7.1555555555555574E-3</v>
      </c>
      <c r="K49" s="112">
        <f>ROUND(J49*$K$11,2)</f>
        <v>4.72</v>
      </c>
    </row>
    <row r="50" spans="1:15" s="109" customFormat="1" ht="12.75">
      <c r="A50" s="328" t="s">
        <v>14</v>
      </c>
      <c r="B50" s="370" t="s">
        <v>403</v>
      </c>
      <c r="C50" s="370"/>
      <c r="D50" s="370"/>
      <c r="E50" s="370"/>
      <c r="F50" s="370"/>
      <c r="G50" s="370"/>
      <c r="H50" s="370"/>
      <c r="I50" s="371"/>
      <c r="J50" s="118">
        <f>0.5*J25</f>
        <v>0.04</v>
      </c>
      <c r="K50" s="112">
        <f>ROUND(J50*$K$11,2)</f>
        <v>26.4</v>
      </c>
    </row>
    <row r="51" spans="1:15" s="109" customFormat="1" ht="12.75">
      <c r="A51" s="625" t="s">
        <v>181</v>
      </c>
      <c r="B51" s="626"/>
      <c r="C51" s="626"/>
      <c r="D51" s="626"/>
      <c r="E51" s="626"/>
      <c r="F51" s="626"/>
      <c r="G51" s="626"/>
      <c r="H51" s="626"/>
      <c r="I51" s="627"/>
      <c r="J51" s="125">
        <f>SUM(J46:J50)</f>
        <v>7.1099999999999997E-2</v>
      </c>
      <c r="K51" s="126">
        <f>SUM(K46:K50)</f>
        <v>46.92</v>
      </c>
    </row>
    <row r="52" spans="1:15" s="109" customFormat="1" ht="12.75">
      <c r="A52" s="638" t="s">
        <v>186</v>
      </c>
      <c r="B52" s="638"/>
      <c r="C52" s="638"/>
      <c r="D52" s="638"/>
      <c r="E52" s="638"/>
      <c r="F52" s="638"/>
      <c r="G52" s="638"/>
      <c r="H52" s="638"/>
      <c r="I52" s="638"/>
      <c r="J52" s="127"/>
      <c r="K52" s="128"/>
    </row>
    <row r="53" spans="1:15" s="109" customFormat="1" ht="12.75">
      <c r="A53" s="628" t="s">
        <v>191</v>
      </c>
      <c r="B53" s="629"/>
      <c r="C53" s="629"/>
      <c r="D53" s="629"/>
      <c r="E53" s="629"/>
      <c r="F53" s="629"/>
      <c r="G53" s="629"/>
      <c r="H53" s="629"/>
      <c r="I53" s="629"/>
      <c r="J53" s="117" t="s">
        <v>9</v>
      </c>
      <c r="K53" s="112" t="s">
        <v>166</v>
      </c>
    </row>
    <row r="54" spans="1:15">
      <c r="A54" s="376" t="s">
        <v>4</v>
      </c>
      <c r="B54" s="647" t="s">
        <v>187</v>
      </c>
      <c r="C54" s="647"/>
      <c r="D54" s="647"/>
      <c r="E54" s="647"/>
      <c r="F54" s="647"/>
      <c r="G54" s="647"/>
      <c r="H54" s="647"/>
      <c r="I54" s="647"/>
      <c r="J54" s="104">
        <f>1/12</f>
        <v>8.3333333333333329E-2</v>
      </c>
      <c r="K54" s="112">
        <f>ROUND(J54*$K$11,2)</f>
        <v>55</v>
      </c>
    </row>
    <row r="55" spans="1:15">
      <c r="A55" s="376" t="s">
        <v>6</v>
      </c>
      <c r="B55" s="630" t="s">
        <v>188</v>
      </c>
      <c r="C55" s="630"/>
      <c r="D55" s="630"/>
      <c r="E55" s="630"/>
      <c r="F55" s="648" t="s">
        <v>29</v>
      </c>
      <c r="G55" s="648"/>
      <c r="H55" s="648"/>
      <c r="I55" s="131">
        <v>6</v>
      </c>
      <c r="J55" s="104">
        <f>I55/30/12</f>
        <v>1.6666666666666666E-2</v>
      </c>
      <c r="K55" s="112">
        <f>ROUND(J55*$K$11,2)</f>
        <v>11</v>
      </c>
    </row>
    <row r="56" spans="1:15">
      <c r="A56" s="376" t="s">
        <v>10</v>
      </c>
      <c r="B56" s="630" t="s">
        <v>30</v>
      </c>
      <c r="C56" s="630"/>
      <c r="D56" s="630"/>
      <c r="E56" s="630"/>
      <c r="F56" s="648" t="s">
        <v>28</v>
      </c>
      <c r="G56" s="648"/>
      <c r="H56" s="132">
        <v>1.4999999999999999E-2</v>
      </c>
      <c r="I56" s="133">
        <v>5</v>
      </c>
      <c r="J56" s="104">
        <f>I56/30/12*H56</f>
        <v>2.0833333333333332E-4</v>
      </c>
      <c r="K56" s="112">
        <f>ROUND(J56*$K$11,2)</f>
        <v>0.14000000000000001</v>
      </c>
    </row>
    <row r="57" spans="1:15">
      <c r="A57" s="376" t="s">
        <v>12</v>
      </c>
      <c r="B57" s="630" t="s">
        <v>189</v>
      </c>
      <c r="C57" s="630"/>
      <c r="D57" s="630"/>
      <c r="E57" s="131"/>
      <c r="F57" s="648" t="s">
        <v>28</v>
      </c>
      <c r="G57" s="648"/>
      <c r="H57" s="132">
        <v>8.0000000000000002E-3</v>
      </c>
      <c r="I57" s="134">
        <v>20</v>
      </c>
      <c r="J57" s="104">
        <f>I57/30/12*H57</f>
        <v>4.4444444444444441E-4</v>
      </c>
      <c r="K57" s="112">
        <f>ROUND(J57*$K$11,2)</f>
        <v>0.28999999999999998</v>
      </c>
    </row>
    <row r="58" spans="1:15">
      <c r="A58" s="376" t="s">
        <v>14</v>
      </c>
      <c r="B58" s="630" t="s">
        <v>190</v>
      </c>
      <c r="C58" s="630"/>
      <c r="D58" s="630"/>
      <c r="E58" s="131"/>
      <c r="F58" s="653"/>
      <c r="G58" s="648"/>
      <c r="H58" s="132">
        <v>0.02</v>
      </c>
      <c r="I58" s="134">
        <v>10</v>
      </c>
      <c r="J58" s="104">
        <f>I58/30/12*H58</f>
        <v>5.5555555555555556E-4</v>
      </c>
      <c r="K58" s="112">
        <f>ROUND(J58*$K$11,2)</f>
        <v>0.37</v>
      </c>
      <c r="L58" s="111"/>
    </row>
    <row r="59" spans="1:15">
      <c r="A59" s="376" t="s">
        <v>1</v>
      </c>
      <c r="B59" s="649" t="s">
        <v>0</v>
      </c>
      <c r="C59" s="649"/>
      <c r="D59" s="649" t="s">
        <v>31</v>
      </c>
      <c r="E59" s="649"/>
      <c r="F59" s="649"/>
      <c r="G59" s="649"/>
      <c r="H59" s="649"/>
      <c r="I59" s="649"/>
      <c r="J59" s="103"/>
      <c r="K59" s="112">
        <f>J59*$K$11</f>
        <v>0</v>
      </c>
      <c r="L59" s="111"/>
    </row>
    <row r="60" spans="1:15">
      <c r="A60" s="650" t="s">
        <v>216</v>
      </c>
      <c r="B60" s="651"/>
      <c r="C60" s="651"/>
      <c r="D60" s="651"/>
      <c r="E60" s="651"/>
      <c r="F60" s="651"/>
      <c r="G60" s="651"/>
      <c r="H60" s="651"/>
      <c r="I60" s="652"/>
      <c r="J60" s="135">
        <f>SUM(J54:J59)</f>
        <v>0.10120833333333333</v>
      </c>
      <c r="K60" s="112">
        <f>SUM(K54:K59)</f>
        <v>66.800000000000011</v>
      </c>
    </row>
    <row r="61" spans="1:15">
      <c r="A61" s="376" t="s">
        <v>12</v>
      </c>
      <c r="B61" s="332" t="s">
        <v>215</v>
      </c>
      <c r="C61" s="332"/>
      <c r="D61" s="332"/>
      <c r="E61" s="332"/>
      <c r="F61" s="332"/>
      <c r="G61" s="332"/>
      <c r="H61" s="332"/>
      <c r="I61" s="333"/>
      <c r="J61" s="336">
        <f>J60*J28</f>
        <v>3.7244666666666676E-2</v>
      </c>
      <c r="K61" s="331">
        <f>ROUND(J61*$K$11,2)</f>
        <v>24.58</v>
      </c>
    </row>
    <row r="62" spans="1:15">
      <c r="A62" s="625" t="s">
        <v>192</v>
      </c>
      <c r="B62" s="626"/>
      <c r="C62" s="626"/>
      <c r="D62" s="626"/>
      <c r="E62" s="626"/>
      <c r="F62" s="626"/>
      <c r="G62" s="626"/>
      <c r="H62" s="626"/>
      <c r="I62" s="627"/>
      <c r="J62" s="148">
        <f>SUM(J60:J61)</f>
        <v>0.13845299999999999</v>
      </c>
      <c r="K62" s="126">
        <f>SUM(K60:K61)</f>
        <v>91.38000000000001</v>
      </c>
      <c r="L62" s="149"/>
      <c r="M62" s="149"/>
      <c r="N62" s="149"/>
      <c r="O62" s="149"/>
    </row>
    <row r="63" spans="1:15">
      <c r="A63" s="628" t="s">
        <v>193</v>
      </c>
      <c r="B63" s="629"/>
      <c r="C63" s="629"/>
      <c r="D63" s="629"/>
      <c r="E63" s="629"/>
      <c r="F63" s="629"/>
      <c r="G63" s="629"/>
      <c r="H63" s="629"/>
      <c r="I63" s="629"/>
      <c r="J63" s="117" t="s">
        <v>9</v>
      </c>
      <c r="K63" s="112" t="s">
        <v>166</v>
      </c>
    </row>
    <row r="64" spans="1:15">
      <c r="A64" s="376" t="s">
        <v>4</v>
      </c>
      <c r="B64" s="647" t="s">
        <v>194</v>
      </c>
      <c r="C64" s="647"/>
      <c r="D64" s="647"/>
      <c r="E64" s="647"/>
      <c r="F64" s="647"/>
      <c r="G64" s="647"/>
      <c r="H64" s="647"/>
      <c r="I64" s="647"/>
      <c r="J64" s="104"/>
      <c r="K64" s="112">
        <f>J64*$K$11</f>
        <v>0</v>
      </c>
    </row>
    <row r="65" spans="1:13">
      <c r="A65" s="650" t="s">
        <v>195</v>
      </c>
      <c r="B65" s="651"/>
      <c r="C65" s="651"/>
      <c r="D65" s="651"/>
      <c r="E65" s="651"/>
      <c r="F65" s="651"/>
      <c r="G65" s="651"/>
      <c r="H65" s="651"/>
      <c r="I65" s="652"/>
      <c r="J65" s="135"/>
      <c r="K65" s="112">
        <f>SUM(K64:K64)</f>
        <v>0</v>
      </c>
    </row>
    <row r="66" spans="1:13">
      <c r="A66" s="638" t="s">
        <v>196</v>
      </c>
      <c r="B66" s="638"/>
      <c r="C66" s="638"/>
      <c r="D66" s="638"/>
      <c r="E66" s="638"/>
      <c r="F66" s="638"/>
      <c r="G66" s="638"/>
      <c r="H66" s="638"/>
      <c r="I66" s="638"/>
      <c r="J66" s="638"/>
      <c r="K66" s="128" t="s">
        <v>166</v>
      </c>
    </row>
    <row r="67" spans="1:13">
      <c r="A67" s="376" t="s">
        <v>197</v>
      </c>
      <c r="B67" s="622" t="s">
        <v>188</v>
      </c>
      <c r="C67" s="623"/>
      <c r="D67" s="623"/>
      <c r="E67" s="623"/>
      <c r="F67" s="623"/>
      <c r="G67" s="623"/>
      <c r="H67" s="623"/>
      <c r="I67" s="624"/>
      <c r="J67" s="372"/>
      <c r="K67" s="112">
        <f>K62</f>
        <v>91.38000000000001</v>
      </c>
    </row>
    <row r="68" spans="1:13">
      <c r="A68" s="376" t="s">
        <v>198</v>
      </c>
      <c r="B68" s="622" t="s">
        <v>199</v>
      </c>
      <c r="C68" s="623"/>
      <c r="D68" s="623"/>
      <c r="E68" s="623"/>
      <c r="F68" s="623"/>
      <c r="G68" s="623"/>
      <c r="H68" s="623"/>
      <c r="I68" s="624"/>
      <c r="J68" s="372"/>
      <c r="K68" s="112">
        <f>K65</f>
        <v>0</v>
      </c>
    </row>
    <row r="69" spans="1:13">
      <c r="A69" s="625" t="s">
        <v>200</v>
      </c>
      <c r="B69" s="626"/>
      <c r="C69" s="626"/>
      <c r="D69" s="626"/>
      <c r="E69" s="626"/>
      <c r="F69" s="626"/>
      <c r="G69" s="626"/>
      <c r="H69" s="626"/>
      <c r="I69" s="627"/>
      <c r="J69" s="125"/>
      <c r="K69" s="126">
        <f>SUM(K67:K68)</f>
        <v>91.38000000000001</v>
      </c>
    </row>
    <row r="70" spans="1:13" s="109" customFormat="1" ht="12.75">
      <c r="A70" s="662"/>
      <c r="B70" s="663"/>
      <c r="C70" s="663"/>
      <c r="D70" s="663"/>
      <c r="E70" s="663"/>
      <c r="F70" s="663"/>
      <c r="G70" s="663"/>
      <c r="H70" s="663"/>
      <c r="I70" s="663"/>
      <c r="J70" s="663"/>
      <c r="K70" s="663"/>
    </row>
    <row r="71" spans="1:13" s="109" customFormat="1" ht="12.75">
      <c r="A71" s="638" t="s">
        <v>201</v>
      </c>
      <c r="B71" s="638"/>
      <c r="C71" s="638"/>
      <c r="D71" s="638"/>
      <c r="E71" s="638"/>
      <c r="F71" s="638"/>
      <c r="G71" s="638"/>
      <c r="H71" s="638"/>
      <c r="I71" s="638"/>
      <c r="J71" s="127"/>
      <c r="K71" s="128" t="s">
        <v>166</v>
      </c>
      <c r="L71" s="136"/>
    </row>
    <row r="72" spans="1:13" s="109" customFormat="1" ht="12.75">
      <c r="A72" s="376" t="s">
        <v>4</v>
      </c>
      <c r="B72" s="654" t="s">
        <v>429</v>
      </c>
      <c r="C72" s="654"/>
      <c r="D72" s="654"/>
      <c r="E72" s="654"/>
      <c r="F72" s="654"/>
      <c r="G72" s="654"/>
      <c r="H72" s="654"/>
      <c r="I72" s="654"/>
      <c r="J72" s="654"/>
      <c r="K72" s="112">
        <v>192.58</v>
      </c>
    </row>
    <row r="73" spans="1:13" s="109" customFormat="1" ht="12.75">
      <c r="A73" s="376" t="s">
        <v>6</v>
      </c>
      <c r="B73" s="655" t="s">
        <v>212</v>
      </c>
      <c r="C73" s="656"/>
      <c r="D73" s="657" t="s">
        <v>55</v>
      </c>
      <c r="E73" s="658"/>
      <c r="F73" s="658"/>
      <c r="G73" s="658"/>
      <c r="H73" s="659"/>
      <c r="I73" s="660">
        <v>0.12</v>
      </c>
      <c r="J73" s="661"/>
      <c r="K73" s="124">
        <f>(K$11+K$44+K$51+K$62)*I73</f>
        <v>203.10440000000003</v>
      </c>
      <c r="L73" s="137"/>
      <c r="M73" s="111"/>
    </row>
    <row r="74" spans="1:13" s="109" customFormat="1" ht="12.75">
      <c r="A74" s="376" t="s">
        <v>10</v>
      </c>
      <c r="B74" s="374" t="s">
        <v>396</v>
      </c>
      <c r="C74" s="375"/>
      <c r="D74" s="657" t="s">
        <v>55</v>
      </c>
      <c r="E74" s="658"/>
      <c r="F74" s="658"/>
      <c r="G74" s="658"/>
      <c r="H74" s="659"/>
      <c r="I74" s="660">
        <v>0.12</v>
      </c>
      <c r="J74" s="661"/>
      <c r="K74" s="124">
        <f>(K$11+K$44+K$51+K$62)*I74</f>
        <v>203.10440000000003</v>
      </c>
      <c r="L74" s="137"/>
      <c r="M74" s="111"/>
    </row>
    <row r="75" spans="1:13" s="109" customFormat="1" ht="12.75">
      <c r="A75" s="625" t="s">
        <v>207</v>
      </c>
      <c r="B75" s="626"/>
      <c r="C75" s="626"/>
      <c r="D75" s="626"/>
      <c r="E75" s="626"/>
      <c r="F75" s="626"/>
      <c r="G75" s="626"/>
      <c r="H75" s="626"/>
      <c r="I75" s="627"/>
      <c r="J75" s="125"/>
      <c r="K75" s="126">
        <f>SUM(K72:K74)</f>
        <v>598.78880000000004</v>
      </c>
    </row>
    <row r="76" spans="1:13" s="109" customFormat="1" ht="12.75">
      <c r="A76" s="638" t="s">
        <v>205</v>
      </c>
      <c r="B76" s="638"/>
      <c r="C76" s="638"/>
      <c r="D76" s="638"/>
      <c r="E76" s="638"/>
      <c r="F76" s="638"/>
      <c r="G76" s="638"/>
      <c r="H76" s="638"/>
      <c r="I76" s="638"/>
      <c r="J76" s="127"/>
      <c r="K76" s="128">
        <f>K5</f>
        <v>0</v>
      </c>
    </row>
    <row r="77" spans="1:13" s="109" customFormat="1" ht="12.75">
      <c r="A77" s="376" t="s">
        <v>4</v>
      </c>
      <c r="B77" s="647" t="s">
        <v>206</v>
      </c>
      <c r="C77" s="647"/>
      <c r="D77" s="647"/>
      <c r="E77" s="647"/>
      <c r="F77" s="647"/>
      <c r="G77" s="647"/>
      <c r="H77" s="647"/>
      <c r="I77" s="647"/>
      <c r="J77" s="138">
        <v>0.1</v>
      </c>
      <c r="K77" s="119">
        <f>J77*K95</f>
        <v>229.13254666666671</v>
      </c>
      <c r="L77" s="139"/>
    </row>
    <row r="78" spans="1:13" s="109" customFormat="1" ht="12.75">
      <c r="A78" s="376" t="s">
        <v>6</v>
      </c>
      <c r="B78" s="647" t="s">
        <v>32</v>
      </c>
      <c r="C78" s="647"/>
      <c r="D78" s="647"/>
      <c r="E78" s="647"/>
      <c r="F78" s="647"/>
      <c r="G78" s="647"/>
      <c r="H78" s="647"/>
      <c r="I78" s="647"/>
      <c r="J78" s="138">
        <v>0.1</v>
      </c>
      <c r="K78" s="119">
        <f>J78*(K95+K77)</f>
        <v>252.0458013333334</v>
      </c>
      <c r="L78" s="139"/>
    </row>
    <row r="79" spans="1:13" s="109" customFormat="1" ht="12.75">
      <c r="A79" s="664" t="s">
        <v>10</v>
      </c>
      <c r="B79" s="665" t="s">
        <v>33</v>
      </c>
      <c r="C79" s="666"/>
      <c r="D79" s="666"/>
      <c r="E79" s="666"/>
      <c r="F79" s="666"/>
      <c r="G79" s="666"/>
      <c r="H79" s="667"/>
      <c r="I79" s="668">
        <f>K95+K77+K78</f>
        <v>2772.503814666667</v>
      </c>
      <c r="J79" s="669"/>
      <c r="K79" s="140"/>
    </row>
    <row r="80" spans="1:13" s="109" customFormat="1" ht="12.75">
      <c r="A80" s="664"/>
      <c r="B80" s="622" t="s">
        <v>34</v>
      </c>
      <c r="C80" s="623"/>
      <c r="D80" s="623"/>
      <c r="E80" s="624"/>
      <c r="F80" s="373"/>
      <c r="G80" s="373" t="s">
        <v>35</v>
      </c>
      <c r="H80" s="373" t="s">
        <v>382</v>
      </c>
      <c r="I80" s="670"/>
      <c r="J80" s="671"/>
      <c r="K80" s="140"/>
    </row>
    <row r="81" spans="1:11" s="109" customFormat="1" ht="12.75">
      <c r="A81" s="664"/>
      <c r="B81" s="630" t="s">
        <v>36</v>
      </c>
      <c r="C81" s="630"/>
      <c r="D81" s="630"/>
      <c r="E81" s="630"/>
      <c r="F81" s="373" t="s">
        <v>37</v>
      </c>
      <c r="G81" s="141">
        <v>1.6500000000000001E-2</v>
      </c>
      <c r="H81" s="674">
        <f>SUM(G81:G86)</f>
        <v>0.14250000000000002</v>
      </c>
      <c r="I81" s="675">
        <f t="shared" ref="I81:I86" si="1">ROUND($K$97*G81,2)</f>
        <v>53.35</v>
      </c>
      <c r="J81" s="676"/>
      <c r="K81" s="677">
        <f>SUM(I81:J86)</f>
        <v>460.74</v>
      </c>
    </row>
    <row r="82" spans="1:11" s="109" customFormat="1" ht="12.75">
      <c r="A82" s="664"/>
      <c r="B82" s="630"/>
      <c r="C82" s="630"/>
      <c r="D82" s="630"/>
      <c r="E82" s="630"/>
      <c r="F82" s="373" t="s">
        <v>38</v>
      </c>
      <c r="G82" s="141">
        <v>7.5999999999999998E-2</v>
      </c>
      <c r="H82" s="674"/>
      <c r="I82" s="675">
        <f t="shared" si="1"/>
        <v>245.73</v>
      </c>
      <c r="J82" s="676"/>
      <c r="K82" s="678"/>
    </row>
    <row r="83" spans="1:11" s="109" customFormat="1" ht="12.75">
      <c r="A83" s="664"/>
      <c r="B83" s="630"/>
      <c r="C83" s="630"/>
      <c r="D83" s="630"/>
      <c r="E83" s="630"/>
      <c r="F83" s="373" t="s">
        <v>39</v>
      </c>
      <c r="G83" s="141">
        <v>0</v>
      </c>
      <c r="H83" s="674"/>
      <c r="I83" s="675">
        <f t="shared" si="1"/>
        <v>0</v>
      </c>
      <c r="J83" s="676"/>
      <c r="K83" s="678"/>
    </row>
    <row r="84" spans="1:11" s="109" customFormat="1" ht="12.75">
      <c r="A84" s="664"/>
      <c r="B84" s="630" t="s">
        <v>40</v>
      </c>
      <c r="C84" s="630"/>
      <c r="D84" s="630"/>
      <c r="E84" s="630"/>
      <c r="F84" s="105" t="s">
        <v>41</v>
      </c>
      <c r="G84" s="141">
        <v>0.05</v>
      </c>
      <c r="H84" s="674"/>
      <c r="I84" s="675">
        <f t="shared" si="1"/>
        <v>161.66</v>
      </c>
      <c r="J84" s="676"/>
      <c r="K84" s="678"/>
    </row>
    <row r="85" spans="1:11" s="109" customFormat="1" ht="12.75">
      <c r="A85" s="664"/>
      <c r="B85" s="630"/>
      <c r="C85" s="630"/>
      <c r="D85" s="630"/>
      <c r="E85" s="630"/>
      <c r="F85" s="105" t="s">
        <v>39</v>
      </c>
      <c r="G85" s="141">
        <v>0</v>
      </c>
      <c r="H85" s="674"/>
      <c r="I85" s="675">
        <f>ROUND($K$97*G85,2)</f>
        <v>0</v>
      </c>
      <c r="J85" s="676"/>
      <c r="K85" s="678"/>
    </row>
    <row r="86" spans="1:11" s="109" customFormat="1" ht="12.75">
      <c r="A86" s="664"/>
      <c r="B86" s="630" t="s">
        <v>42</v>
      </c>
      <c r="C86" s="630"/>
      <c r="D86" s="630"/>
      <c r="E86" s="630"/>
      <c r="F86" s="105"/>
      <c r="G86" s="141">
        <v>0</v>
      </c>
      <c r="H86" s="674"/>
      <c r="I86" s="675">
        <f t="shared" si="1"/>
        <v>0</v>
      </c>
      <c r="J86" s="676"/>
      <c r="K86" s="679"/>
    </row>
    <row r="87" spans="1:11" s="109" customFormat="1" ht="12.75">
      <c r="A87" s="664" t="s">
        <v>43</v>
      </c>
      <c r="B87" s="664"/>
      <c r="C87" s="664"/>
      <c r="D87" s="664"/>
      <c r="E87" s="664"/>
      <c r="F87" s="664"/>
      <c r="G87" s="664"/>
      <c r="H87" s="664"/>
      <c r="I87" s="664"/>
      <c r="J87" s="664"/>
      <c r="K87" s="106">
        <f>K81+K78+K77</f>
        <v>941.91834800000015</v>
      </c>
    </row>
    <row r="88" spans="1:11" s="109" customFormat="1" ht="12.75">
      <c r="A88" s="672" t="s">
        <v>44</v>
      </c>
      <c r="B88" s="672"/>
      <c r="C88" s="672"/>
      <c r="D88" s="672"/>
      <c r="E88" s="672"/>
      <c r="F88" s="672"/>
      <c r="G88" s="672"/>
      <c r="H88" s="672"/>
      <c r="I88" s="672"/>
      <c r="J88" s="672"/>
      <c r="K88" s="672"/>
    </row>
    <row r="89" spans="1:11" s="109" customFormat="1" ht="12.75">
      <c r="A89" s="673" t="s">
        <v>45</v>
      </c>
      <c r="B89" s="673"/>
      <c r="C89" s="673"/>
      <c r="D89" s="673"/>
      <c r="E89" s="673"/>
      <c r="F89" s="673"/>
      <c r="G89" s="673"/>
      <c r="H89" s="673"/>
      <c r="I89" s="673"/>
      <c r="J89" s="673"/>
      <c r="K89" s="110">
        <f>K5</f>
        <v>0</v>
      </c>
    </row>
    <row r="90" spans="1:11" s="109" customFormat="1" ht="12.75">
      <c r="A90" s="376" t="s">
        <v>4</v>
      </c>
      <c r="B90" s="647" t="str">
        <f>A7</f>
        <v xml:space="preserve">MÓDULO 01 – Composição da Remuneração </v>
      </c>
      <c r="C90" s="647"/>
      <c r="D90" s="647"/>
      <c r="E90" s="647"/>
      <c r="F90" s="647"/>
      <c r="G90" s="647"/>
      <c r="H90" s="647"/>
      <c r="I90" s="647"/>
      <c r="J90" s="647"/>
      <c r="K90" s="142">
        <f>K11</f>
        <v>660</v>
      </c>
    </row>
    <row r="91" spans="1:11" s="109" customFormat="1" ht="12.75">
      <c r="A91" s="376" t="s">
        <v>6</v>
      </c>
      <c r="B91" s="647" t="str">
        <f>A12</f>
        <v>MÓDULO 2 – ENCARGOS E BENEFÍCIOS ANUAIS, MENSAIS E DIÁRIOS</v>
      </c>
      <c r="C91" s="647"/>
      <c r="D91" s="647"/>
      <c r="E91" s="647"/>
      <c r="F91" s="647"/>
      <c r="G91" s="647"/>
      <c r="H91" s="647"/>
      <c r="I91" s="647"/>
      <c r="J91" s="647"/>
      <c r="K91" s="142">
        <f>K44</f>
        <v>894.23666666666668</v>
      </c>
    </row>
    <row r="92" spans="1:11" s="109" customFormat="1" ht="12.75">
      <c r="A92" s="376" t="s">
        <v>10</v>
      </c>
      <c r="B92" s="647" t="str">
        <f>A45</f>
        <v>MÓDULO 3 – PROVISÃO PARA RESCISÃO</v>
      </c>
      <c r="C92" s="647"/>
      <c r="D92" s="647"/>
      <c r="E92" s="647"/>
      <c r="F92" s="647"/>
      <c r="G92" s="647"/>
      <c r="H92" s="647"/>
      <c r="I92" s="647"/>
      <c r="J92" s="647"/>
      <c r="K92" s="142">
        <f>K51</f>
        <v>46.92</v>
      </c>
    </row>
    <row r="93" spans="1:11" s="109" customFormat="1" ht="12.75">
      <c r="A93" s="376" t="s">
        <v>12</v>
      </c>
      <c r="B93" s="647" t="str">
        <f>A52</f>
        <v>MÓDULO 4 – CUSTO DE REPOSIÇÃO DO PROFISSIONAL AUSENTE</v>
      </c>
      <c r="C93" s="647"/>
      <c r="D93" s="647"/>
      <c r="E93" s="647"/>
      <c r="F93" s="647"/>
      <c r="G93" s="647"/>
      <c r="H93" s="647"/>
      <c r="I93" s="647"/>
      <c r="J93" s="647"/>
      <c r="K93" s="142">
        <f>K62</f>
        <v>91.38000000000001</v>
      </c>
    </row>
    <row r="94" spans="1:11" s="109" customFormat="1" ht="12.75">
      <c r="A94" s="376" t="s">
        <v>14</v>
      </c>
      <c r="B94" s="647" t="str">
        <f>A71</f>
        <v>MÓDULO 5 – INSUMOS DIVERSOS</v>
      </c>
      <c r="C94" s="647"/>
      <c r="D94" s="647"/>
      <c r="E94" s="647"/>
      <c r="F94" s="647"/>
      <c r="G94" s="647"/>
      <c r="H94" s="647"/>
      <c r="I94" s="647"/>
      <c r="J94" s="647"/>
      <c r="K94" s="142">
        <f>K75</f>
        <v>598.78880000000004</v>
      </c>
    </row>
    <row r="95" spans="1:11" s="109" customFormat="1" ht="12.75">
      <c r="A95" s="673" t="s">
        <v>209</v>
      </c>
      <c r="B95" s="673"/>
      <c r="C95" s="673"/>
      <c r="D95" s="673"/>
      <c r="E95" s="673"/>
      <c r="F95" s="673"/>
      <c r="G95" s="673"/>
      <c r="H95" s="673"/>
      <c r="I95" s="673"/>
      <c r="J95" s="673"/>
      <c r="K95" s="107">
        <f>SUM(K90:K94)</f>
        <v>2291.3254666666671</v>
      </c>
    </row>
    <row r="96" spans="1:11" s="109" customFormat="1" ht="12.75">
      <c r="A96" s="376" t="s">
        <v>14</v>
      </c>
      <c r="B96" s="647" t="s">
        <v>46</v>
      </c>
      <c r="C96" s="647"/>
      <c r="D96" s="647"/>
      <c r="E96" s="647"/>
      <c r="F96" s="647"/>
      <c r="G96" s="647"/>
      <c r="H96" s="647"/>
      <c r="I96" s="647"/>
      <c r="J96" s="647"/>
      <c r="K96" s="108">
        <f>K97-K95</f>
        <v>941.91453333333266</v>
      </c>
    </row>
    <row r="97" spans="1:15" s="109" customFormat="1" ht="12.75">
      <c r="A97" s="694" t="s">
        <v>47</v>
      </c>
      <c r="B97" s="694"/>
      <c r="C97" s="694"/>
      <c r="D97" s="694"/>
      <c r="E97" s="694"/>
      <c r="F97" s="694"/>
      <c r="G97" s="694"/>
      <c r="H97" s="694"/>
      <c r="I97" s="694"/>
      <c r="J97" s="694"/>
      <c r="K97" s="143">
        <f>ROUND(I79/(1-$H$81),2)</f>
        <v>3233.24</v>
      </c>
    </row>
    <row r="98" spans="1:15" s="109" customFormat="1" ht="12.75">
      <c r="A98" s="695" t="s">
        <v>214</v>
      </c>
      <c r="B98" s="686"/>
      <c r="C98" s="686"/>
      <c r="D98" s="686"/>
      <c r="E98" s="686"/>
      <c r="F98" s="686"/>
      <c r="G98" s="686"/>
      <c r="H98" s="686"/>
      <c r="I98" s="158"/>
      <c r="J98" s="377">
        <v>1</v>
      </c>
      <c r="K98" s="159">
        <f>K97</f>
        <v>3233.24</v>
      </c>
    </row>
    <row r="99" spans="1:15" s="109" customFormat="1" ht="13.5" thickBot="1">
      <c r="A99" s="680" t="s">
        <v>217</v>
      </c>
      <c r="B99" s="680"/>
      <c r="C99" s="680"/>
      <c r="D99" s="680"/>
      <c r="E99" s="681"/>
      <c r="F99" s="681"/>
      <c r="G99" s="681"/>
      <c r="H99" s="681"/>
      <c r="I99" s="680"/>
      <c r="J99" s="680"/>
      <c r="K99" s="160">
        <f>K98*12</f>
        <v>38798.879999999997</v>
      </c>
    </row>
    <row r="100" spans="1:15" s="109" customFormat="1" ht="15" customHeight="1">
      <c r="G100" s="161"/>
      <c r="H100" s="682" t="s">
        <v>48</v>
      </c>
      <c r="I100" s="683"/>
      <c r="J100" s="683"/>
      <c r="K100" s="684"/>
    </row>
    <row r="101" spans="1:15" s="109" customFormat="1" ht="12.75">
      <c r="G101" s="162"/>
      <c r="H101" s="685" t="s">
        <v>49</v>
      </c>
      <c r="I101" s="686"/>
      <c r="J101" s="687"/>
      <c r="K101" s="163" t="s">
        <v>9</v>
      </c>
    </row>
    <row r="102" spans="1:15" ht="15" customHeight="1">
      <c r="G102" s="164"/>
      <c r="H102" s="165" t="s">
        <v>50</v>
      </c>
      <c r="I102" s="144"/>
      <c r="J102" s="145"/>
      <c r="K102" s="166">
        <f>J77</f>
        <v>0.1</v>
      </c>
      <c r="M102" s="307"/>
      <c r="N102" s="307"/>
      <c r="O102" s="307"/>
    </row>
    <row r="103" spans="1:15" ht="15" customHeight="1">
      <c r="G103" s="164"/>
      <c r="H103" s="688" t="s">
        <v>32</v>
      </c>
      <c r="I103" s="689"/>
      <c r="J103" s="690"/>
      <c r="K103" s="166">
        <f>J78</f>
        <v>0.1</v>
      </c>
      <c r="M103" s="307"/>
      <c r="N103" s="307"/>
      <c r="O103" s="307"/>
    </row>
    <row r="104" spans="1:15" ht="15" customHeight="1">
      <c r="G104" s="164"/>
      <c r="H104" s="165" t="s">
        <v>51</v>
      </c>
      <c r="I104" s="144"/>
      <c r="J104" s="145"/>
      <c r="K104" s="166">
        <f>H81</f>
        <v>0.14250000000000002</v>
      </c>
      <c r="M104" s="307"/>
      <c r="N104" s="307"/>
      <c r="O104" s="307"/>
    </row>
    <row r="105" spans="1:15" ht="15.75" customHeight="1" thickBot="1">
      <c r="G105" s="164"/>
      <c r="H105" s="691" t="s">
        <v>52</v>
      </c>
      <c r="I105" s="692"/>
      <c r="J105" s="693"/>
      <c r="K105" s="167">
        <f>(1+K102)*(1+K103)/(1-K104)-1</f>
        <v>0.41107871720116651</v>
      </c>
      <c r="M105" s="307"/>
      <c r="N105" s="307"/>
      <c r="O105" s="307"/>
    </row>
    <row r="106" spans="1:15" ht="20.25" customHeight="1">
      <c r="G106" s="164"/>
      <c r="H106" s="168"/>
      <c r="I106" s="168"/>
      <c r="J106" s="168"/>
      <c r="K106" s="169"/>
      <c r="M106" s="307"/>
      <c r="N106" s="307"/>
      <c r="O106" s="307"/>
    </row>
    <row r="107" spans="1:15" ht="15" customHeight="1">
      <c r="G107" s="164"/>
      <c r="H107" s="168"/>
      <c r="I107" s="168"/>
      <c r="J107" s="168"/>
      <c r="K107" s="169"/>
      <c r="M107" s="307"/>
      <c r="N107" s="307"/>
      <c r="O107" s="307"/>
    </row>
    <row r="108" spans="1:15" ht="15" customHeight="1">
      <c r="G108" s="164"/>
      <c r="H108" s="168"/>
      <c r="I108" s="168"/>
      <c r="J108" s="168"/>
      <c r="K108" s="169"/>
      <c r="M108" s="307"/>
      <c r="N108" s="307"/>
      <c r="O108" s="307"/>
    </row>
    <row r="109" spans="1:15" ht="15" customHeight="1">
      <c r="G109" s="164"/>
      <c r="M109" s="307"/>
      <c r="N109" s="307"/>
      <c r="O109" s="307"/>
    </row>
    <row r="110" spans="1:15">
      <c r="A110" s="329">
        <v>0.03</v>
      </c>
      <c r="B110" s="109" t="s">
        <v>398</v>
      </c>
    </row>
    <row r="111" spans="1:15">
      <c r="B111" s="326" t="s">
        <v>442</v>
      </c>
    </row>
    <row r="113" spans="1:11" s="109" customFormat="1" ht="12.75">
      <c r="A113" s="116">
        <v>3.9</v>
      </c>
      <c r="B113" s="109" t="s">
        <v>397</v>
      </c>
      <c r="H113" s="146"/>
      <c r="I113" s="147"/>
      <c r="K113" s="116"/>
    </row>
    <row r="114" spans="1:11" s="109" customFormat="1">
      <c r="B114" s="326" t="s">
        <v>443</v>
      </c>
      <c r="H114" s="146"/>
      <c r="I114" s="147"/>
      <c r="K114" s="116"/>
    </row>
    <row r="115" spans="1:11" s="109" customFormat="1">
      <c r="B115" s="326" t="s">
        <v>444</v>
      </c>
      <c r="H115" s="146"/>
      <c r="I115" s="147"/>
      <c r="K115" s="116"/>
    </row>
  </sheetData>
  <mergeCells count="117">
    <mergeCell ref="A99:J99"/>
    <mergeCell ref="H100:K100"/>
    <mergeCell ref="H101:J101"/>
    <mergeCell ref="H103:J103"/>
    <mergeCell ref="H105:J105"/>
    <mergeCell ref="B93:J93"/>
    <mergeCell ref="B94:J94"/>
    <mergeCell ref="A95:J95"/>
    <mergeCell ref="B96:J96"/>
    <mergeCell ref="A97:J97"/>
    <mergeCell ref="A98:H98"/>
    <mergeCell ref="A87:J87"/>
    <mergeCell ref="A88:K88"/>
    <mergeCell ref="A89:J89"/>
    <mergeCell ref="B90:J90"/>
    <mergeCell ref="B91:J91"/>
    <mergeCell ref="B92:J92"/>
    <mergeCell ref="H81:H86"/>
    <mergeCell ref="I81:J81"/>
    <mergeCell ref="K81:K86"/>
    <mergeCell ref="I82:J82"/>
    <mergeCell ref="I83:J83"/>
    <mergeCell ref="B84:E85"/>
    <mergeCell ref="I84:J84"/>
    <mergeCell ref="I85:J85"/>
    <mergeCell ref="B86:E86"/>
    <mergeCell ref="I86:J86"/>
    <mergeCell ref="A75:I75"/>
    <mergeCell ref="A76:I76"/>
    <mergeCell ref="B77:I77"/>
    <mergeCell ref="B78:I78"/>
    <mergeCell ref="A79:A86"/>
    <mergeCell ref="B79:H79"/>
    <mergeCell ref="I79:J79"/>
    <mergeCell ref="B80:E80"/>
    <mergeCell ref="I80:J80"/>
    <mergeCell ref="B81:E83"/>
    <mergeCell ref="B72:J72"/>
    <mergeCell ref="B73:C73"/>
    <mergeCell ref="D73:H73"/>
    <mergeCell ref="I73:J73"/>
    <mergeCell ref="D74:H74"/>
    <mergeCell ref="I74:J74"/>
    <mergeCell ref="A66:J66"/>
    <mergeCell ref="B67:I67"/>
    <mergeCell ref="B68:I68"/>
    <mergeCell ref="A69:I69"/>
    <mergeCell ref="A70:K70"/>
    <mergeCell ref="A71:I71"/>
    <mergeCell ref="B59:I59"/>
    <mergeCell ref="A60:I60"/>
    <mergeCell ref="A62:I62"/>
    <mergeCell ref="A63:I63"/>
    <mergeCell ref="B64:I64"/>
    <mergeCell ref="A65:I65"/>
    <mergeCell ref="B56:E56"/>
    <mergeCell ref="F56:G56"/>
    <mergeCell ref="B57:D57"/>
    <mergeCell ref="F57:G57"/>
    <mergeCell ref="B58:D58"/>
    <mergeCell ref="F58:G58"/>
    <mergeCell ref="A51:I51"/>
    <mergeCell ref="A52:I52"/>
    <mergeCell ref="A53:I53"/>
    <mergeCell ref="B54:I54"/>
    <mergeCell ref="B55:E55"/>
    <mergeCell ref="F55:H55"/>
    <mergeCell ref="B46:G46"/>
    <mergeCell ref="B47:G47"/>
    <mergeCell ref="H47:I47"/>
    <mergeCell ref="B48:G48"/>
    <mergeCell ref="H48:I48"/>
    <mergeCell ref="B49:G49"/>
    <mergeCell ref="H49:I49"/>
    <mergeCell ref="A40:J40"/>
    <mergeCell ref="B41:I41"/>
    <mergeCell ref="B42:I42"/>
    <mergeCell ref="B43:I43"/>
    <mergeCell ref="A44:I44"/>
    <mergeCell ref="A45:I45"/>
    <mergeCell ref="B34:I34"/>
    <mergeCell ref="B35:I35"/>
    <mergeCell ref="B36:I36"/>
    <mergeCell ref="B37:I37"/>
    <mergeCell ref="B38:J38"/>
    <mergeCell ref="A39:I39"/>
    <mergeCell ref="B26:E26"/>
    <mergeCell ref="B27:I27"/>
    <mergeCell ref="A28:I28"/>
    <mergeCell ref="A29:I29"/>
    <mergeCell ref="B32:G32"/>
    <mergeCell ref="B33:I33"/>
    <mergeCell ref="B22:I22"/>
    <mergeCell ref="B23:I23"/>
    <mergeCell ref="B24:I24"/>
    <mergeCell ref="B25:C25"/>
    <mergeCell ref="D25:E25"/>
    <mergeCell ref="F25:I25"/>
    <mergeCell ref="A18:I18"/>
    <mergeCell ref="A19:I19"/>
    <mergeCell ref="B20:I20"/>
    <mergeCell ref="B21:I21"/>
    <mergeCell ref="A7:J7"/>
    <mergeCell ref="B8:J8"/>
    <mergeCell ref="B10:J10"/>
    <mergeCell ref="A11:J11"/>
    <mergeCell ref="A12:J12"/>
    <mergeCell ref="A13:I13"/>
    <mergeCell ref="A1:K1"/>
    <mergeCell ref="A2:K2"/>
    <mergeCell ref="A5:H5"/>
    <mergeCell ref="I5:K6"/>
    <mergeCell ref="A6:G6"/>
    <mergeCell ref="A3:J3"/>
    <mergeCell ref="A4:J4"/>
    <mergeCell ref="B14:I14"/>
    <mergeCell ref="B15:I15"/>
  </mergeCells>
  <hyperlinks>
    <hyperlink ref="B111" r:id="rId1"/>
    <hyperlink ref="B114" r:id="rId2"/>
    <hyperlink ref="B115" r:id="rId3"/>
  </hyperlinks>
  <pageMargins left="0.51181102362204722" right="0.11811023622047245" top="1.3779527559055118" bottom="0.59055118110236227" header="0.31496062992125984" footer="0.31496062992125984"/>
  <pageSetup paperSize="9" scale="70" orientation="portrait" r:id="rId4"/>
  <rowBreaks count="1" manualBreakCount="1">
    <brk id="65" max="16" man="1"/>
  </rowBreaks>
  <colBreaks count="1" manualBreakCount="1">
    <brk id="11" max="101" man="1"/>
  </colBreaks>
  <legacy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1:O115"/>
  <sheetViews>
    <sheetView tabSelected="1" view="pageBreakPreview" topLeftCell="A80" zoomScaleNormal="100" zoomScaleSheetLayoutView="100" workbookViewId="0">
      <selection activeCell="A3" sqref="A3:J3"/>
    </sheetView>
  </sheetViews>
  <sheetFormatPr defaultColWidth="9.140625" defaultRowHeight="15"/>
  <cols>
    <col min="1" max="1" width="8.140625" style="109" customWidth="1"/>
    <col min="2" max="2" width="9" style="109" customWidth="1"/>
    <col min="3" max="3" width="22.85546875" style="109" customWidth="1"/>
    <col min="4" max="4" width="7" style="109" customWidth="1"/>
    <col min="5" max="5" width="10.85546875" style="109" customWidth="1"/>
    <col min="6" max="6" width="10.42578125" style="109" customWidth="1"/>
    <col min="7" max="7" width="10.7109375" style="109" customWidth="1"/>
    <col min="8" max="8" width="13.7109375" style="146" customWidth="1"/>
    <col min="9" max="9" width="9" style="147" bestFit="1" customWidth="1"/>
    <col min="10" max="10" width="10.42578125" style="109" customWidth="1"/>
    <col min="11" max="11" width="16.7109375" style="116" customWidth="1"/>
    <col min="12" max="12" width="11.5703125" style="109" customWidth="1"/>
    <col min="13" max="13" width="12.140625" style="109" bestFit="1" customWidth="1"/>
    <col min="14" max="15" width="9.140625" style="109"/>
    <col min="16" max="16384" width="9.140625" style="307"/>
  </cols>
  <sheetData>
    <row r="1" spans="1:15">
      <c r="A1" s="602" t="s">
        <v>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5">
      <c r="A2" s="603"/>
      <c r="B2" s="604"/>
      <c r="C2" s="604"/>
      <c r="D2" s="604"/>
      <c r="E2" s="604"/>
      <c r="F2" s="604"/>
      <c r="G2" s="604"/>
      <c r="H2" s="604"/>
      <c r="I2" s="604"/>
      <c r="J2" s="604"/>
      <c r="K2" s="605"/>
      <c r="L2" s="308"/>
      <c r="M2" s="308"/>
      <c r="N2" s="308"/>
      <c r="O2" s="308"/>
    </row>
    <row r="3" spans="1:15">
      <c r="A3" s="616" t="s">
        <v>454</v>
      </c>
      <c r="B3" s="617"/>
      <c r="C3" s="617"/>
      <c r="D3" s="617"/>
      <c r="E3" s="617"/>
      <c r="F3" s="617"/>
      <c r="G3" s="617"/>
      <c r="H3" s="617"/>
      <c r="I3" s="617"/>
      <c r="J3" s="618"/>
      <c r="K3" s="379" t="s">
        <v>455</v>
      </c>
      <c r="L3" s="307"/>
      <c r="M3" s="307"/>
      <c r="N3" s="307"/>
      <c r="O3" s="307"/>
    </row>
    <row r="4" spans="1:15">
      <c r="A4" s="619" t="s">
        <v>456</v>
      </c>
      <c r="B4" s="620"/>
      <c r="C4" s="620"/>
      <c r="D4" s="620"/>
      <c r="E4" s="620"/>
      <c r="F4" s="620"/>
      <c r="G4" s="620"/>
      <c r="H4" s="620"/>
      <c r="I4" s="620"/>
      <c r="J4" s="621"/>
      <c r="K4" s="379" t="s">
        <v>458</v>
      </c>
      <c r="L4" s="307"/>
      <c r="M4" s="307"/>
      <c r="N4" s="307"/>
      <c r="O4" s="307"/>
    </row>
    <row r="5" spans="1:15" ht="27" customHeight="1">
      <c r="A5" s="606" t="s">
        <v>452</v>
      </c>
      <c r="B5" s="607"/>
      <c r="C5" s="607"/>
      <c r="D5" s="607"/>
      <c r="E5" s="607"/>
      <c r="F5" s="607"/>
      <c r="G5" s="607"/>
      <c r="H5" s="607"/>
      <c r="I5" s="608" t="s">
        <v>451</v>
      </c>
      <c r="J5" s="609"/>
      <c r="K5" s="610"/>
    </row>
    <row r="6" spans="1:15" s="324" customFormat="1">
      <c r="A6" s="614" t="s">
        <v>395</v>
      </c>
      <c r="B6" s="615"/>
      <c r="C6" s="615"/>
      <c r="D6" s="615"/>
      <c r="E6" s="615"/>
      <c r="F6" s="615"/>
      <c r="G6" s="615"/>
      <c r="H6" s="325">
        <v>998</v>
      </c>
      <c r="I6" s="611"/>
      <c r="J6" s="612"/>
      <c r="K6" s="613"/>
      <c r="L6" s="323"/>
      <c r="M6" s="323"/>
      <c r="N6" s="323"/>
      <c r="O6" s="323"/>
    </row>
    <row r="7" spans="1:15">
      <c r="A7" s="631" t="s">
        <v>3</v>
      </c>
      <c r="B7" s="632"/>
      <c r="C7" s="632"/>
      <c r="D7" s="632"/>
      <c r="E7" s="632"/>
      <c r="F7" s="632"/>
      <c r="G7" s="632"/>
      <c r="H7" s="632"/>
      <c r="I7" s="632"/>
      <c r="J7" s="632"/>
      <c r="K7" s="304">
        <v>1329.95</v>
      </c>
      <c r="M7" s="111"/>
    </row>
    <row r="8" spans="1:15">
      <c r="A8" s="376" t="s">
        <v>4</v>
      </c>
      <c r="B8" s="633" t="s">
        <v>401</v>
      </c>
      <c r="C8" s="633"/>
      <c r="D8" s="633"/>
      <c r="E8" s="633"/>
      <c r="F8" s="633"/>
      <c r="G8" s="633"/>
      <c r="H8" s="633"/>
      <c r="I8" s="633"/>
      <c r="J8" s="633"/>
      <c r="K8" s="337">
        <f>K7/220*8</f>
        <v>48.361818181818187</v>
      </c>
      <c r="L8" s="330"/>
      <c r="M8" s="111"/>
    </row>
    <row r="9" spans="1:15">
      <c r="A9" s="376" t="s">
        <v>6</v>
      </c>
      <c r="B9" s="366" t="s">
        <v>450</v>
      </c>
      <c r="C9" s="367"/>
      <c r="D9" s="367"/>
      <c r="E9" s="367"/>
      <c r="F9" s="367"/>
      <c r="G9" s="367"/>
      <c r="H9" s="367"/>
      <c r="I9" s="367"/>
      <c r="J9" s="368">
        <v>0</v>
      </c>
      <c r="K9" s="337">
        <v>0</v>
      </c>
      <c r="L9" s="330"/>
      <c r="M9" s="111"/>
    </row>
    <row r="10" spans="1:15">
      <c r="A10" s="376"/>
      <c r="B10" s="634" t="s">
        <v>220</v>
      </c>
      <c r="C10" s="635"/>
      <c r="D10" s="635"/>
      <c r="E10" s="635"/>
      <c r="F10" s="635"/>
      <c r="G10" s="635"/>
      <c r="H10" s="635"/>
      <c r="I10" s="635"/>
      <c r="J10" s="636"/>
      <c r="K10" s="305">
        <f>SUM(K8:K9)</f>
        <v>48.361818181818187</v>
      </c>
      <c r="L10" s="113"/>
    </row>
    <row r="11" spans="1:15">
      <c r="A11" s="637" t="s">
        <v>208</v>
      </c>
      <c r="B11" s="637"/>
      <c r="C11" s="637"/>
      <c r="D11" s="637"/>
      <c r="E11" s="637"/>
      <c r="F11" s="637"/>
      <c r="G11" s="637"/>
      <c r="H11" s="637"/>
      <c r="I11" s="637"/>
      <c r="J11" s="637"/>
      <c r="K11" s="114">
        <f>SUM(K10:K10)</f>
        <v>48.361818181818187</v>
      </c>
      <c r="L11" s="115"/>
    </row>
    <row r="12" spans="1:15">
      <c r="A12" s="638" t="s">
        <v>161</v>
      </c>
      <c r="B12" s="638"/>
      <c r="C12" s="638"/>
      <c r="D12" s="638"/>
      <c r="E12" s="638"/>
      <c r="F12" s="638"/>
      <c r="G12" s="638"/>
      <c r="H12" s="638"/>
      <c r="I12" s="638"/>
      <c r="J12" s="638"/>
      <c r="K12" s="110"/>
    </row>
    <row r="13" spans="1:15">
      <c r="A13" s="628" t="s">
        <v>162</v>
      </c>
      <c r="B13" s="629"/>
      <c r="C13" s="629"/>
      <c r="D13" s="629"/>
      <c r="E13" s="629"/>
      <c r="F13" s="629"/>
      <c r="G13" s="629"/>
      <c r="H13" s="629"/>
      <c r="I13" s="629"/>
      <c r="J13" s="117" t="s">
        <v>9</v>
      </c>
      <c r="K13" s="112" t="s">
        <v>166</v>
      </c>
    </row>
    <row r="14" spans="1:15">
      <c r="A14" s="376" t="s">
        <v>4</v>
      </c>
      <c r="B14" s="622" t="s">
        <v>163</v>
      </c>
      <c r="C14" s="623"/>
      <c r="D14" s="623"/>
      <c r="E14" s="623"/>
      <c r="F14" s="623"/>
      <c r="G14" s="623"/>
      <c r="H14" s="623"/>
      <c r="I14" s="624"/>
      <c r="J14" s="118">
        <v>8.3299999999999999E-2</v>
      </c>
      <c r="K14" s="119">
        <f>ROUND($J14*K$11,2)</f>
        <v>4.03</v>
      </c>
    </row>
    <row r="15" spans="1:15">
      <c r="A15" s="376" t="s">
        <v>6</v>
      </c>
      <c r="B15" s="622" t="s">
        <v>164</v>
      </c>
      <c r="C15" s="623"/>
      <c r="D15" s="623"/>
      <c r="E15" s="623"/>
      <c r="F15" s="623"/>
      <c r="G15" s="623"/>
      <c r="H15" s="623"/>
      <c r="I15" s="624"/>
      <c r="J15" s="118">
        <f>J54*33.33%</f>
        <v>2.7774999999999998E-2</v>
      </c>
      <c r="K15" s="119">
        <f>ROUND($J15*K$11,2)</f>
        <v>1.34</v>
      </c>
      <c r="M15" s="109" t="s">
        <v>233</v>
      </c>
    </row>
    <row r="16" spans="1:15">
      <c r="A16" s="376" t="s">
        <v>10</v>
      </c>
      <c r="B16" s="370" t="s">
        <v>213</v>
      </c>
      <c r="C16" s="370"/>
      <c r="D16" s="370"/>
      <c r="E16" s="370"/>
      <c r="F16" s="370"/>
      <c r="G16" s="370"/>
      <c r="H16" s="370"/>
      <c r="I16" s="371"/>
      <c r="J16" s="118">
        <f>SUM(J14:J15)</f>
        <v>0.11107499999999999</v>
      </c>
      <c r="K16" s="112">
        <f>SUM(K14:K15)</f>
        <v>5.37</v>
      </c>
    </row>
    <row r="17" spans="1:15">
      <c r="A17" s="376" t="s">
        <v>12</v>
      </c>
      <c r="B17" s="332" t="s">
        <v>402</v>
      </c>
      <c r="C17" s="332"/>
      <c r="D17" s="332"/>
      <c r="E17" s="332"/>
      <c r="F17" s="332"/>
      <c r="G17" s="332"/>
      <c r="H17" s="332"/>
      <c r="I17" s="333"/>
      <c r="J17" s="334">
        <f>J16*J28</f>
        <v>4.0875600000000012E-2</v>
      </c>
      <c r="K17" s="335">
        <f>ROUND($J17*K$11,2)</f>
        <v>1.98</v>
      </c>
    </row>
    <row r="18" spans="1:15">
      <c r="A18" s="625" t="s">
        <v>165</v>
      </c>
      <c r="B18" s="626"/>
      <c r="C18" s="626"/>
      <c r="D18" s="626"/>
      <c r="E18" s="626"/>
      <c r="F18" s="626"/>
      <c r="G18" s="626"/>
      <c r="H18" s="626"/>
      <c r="I18" s="627"/>
      <c r="J18" s="125">
        <f>SUM(J16:J17)</f>
        <v>0.15195059999999999</v>
      </c>
      <c r="K18" s="126">
        <f>SUM(K16:K17)</f>
        <v>7.35</v>
      </c>
    </row>
    <row r="19" spans="1:15">
      <c r="A19" s="628" t="s">
        <v>167</v>
      </c>
      <c r="B19" s="629"/>
      <c r="C19" s="629"/>
      <c r="D19" s="629"/>
      <c r="E19" s="629"/>
      <c r="F19" s="629"/>
      <c r="G19" s="629"/>
      <c r="H19" s="629"/>
      <c r="I19" s="629"/>
      <c r="J19" s="117" t="s">
        <v>9</v>
      </c>
      <c r="K19" s="112" t="s">
        <v>166</v>
      </c>
    </row>
    <row r="20" spans="1:15">
      <c r="A20" s="376" t="s">
        <v>4</v>
      </c>
      <c r="B20" s="630" t="s">
        <v>17</v>
      </c>
      <c r="C20" s="630"/>
      <c r="D20" s="630"/>
      <c r="E20" s="630"/>
      <c r="F20" s="630"/>
      <c r="G20" s="630"/>
      <c r="H20" s="630"/>
      <c r="I20" s="630"/>
      <c r="J20" s="103">
        <v>0.2</v>
      </c>
      <c r="K20" s="119">
        <f>ROUND($J$20*K11,2)</f>
        <v>9.67</v>
      </c>
    </row>
    <row r="21" spans="1:15">
      <c r="A21" s="376" t="s">
        <v>6</v>
      </c>
      <c r="B21" s="630" t="s">
        <v>18</v>
      </c>
      <c r="C21" s="630"/>
      <c r="D21" s="630"/>
      <c r="E21" s="630"/>
      <c r="F21" s="630"/>
      <c r="G21" s="630"/>
      <c r="H21" s="630"/>
      <c r="I21" s="630"/>
      <c r="J21" s="103">
        <v>1.4999999999999999E-2</v>
      </c>
      <c r="K21" s="119">
        <f>ROUND($J$21*K11,2)</f>
        <v>0.73</v>
      </c>
    </row>
    <row r="22" spans="1:15">
      <c r="A22" s="376" t="s">
        <v>10</v>
      </c>
      <c r="B22" s="630" t="s">
        <v>19</v>
      </c>
      <c r="C22" s="630"/>
      <c r="D22" s="630"/>
      <c r="E22" s="630"/>
      <c r="F22" s="630"/>
      <c r="G22" s="630"/>
      <c r="H22" s="630"/>
      <c r="I22" s="630"/>
      <c r="J22" s="103">
        <v>0.01</v>
      </c>
      <c r="K22" s="119">
        <f t="shared" ref="K22:K27" si="0">ROUND(J22*$K$11,2)</f>
        <v>0.48</v>
      </c>
    </row>
    <row r="23" spans="1:15">
      <c r="A23" s="376" t="s">
        <v>12</v>
      </c>
      <c r="B23" s="630" t="s">
        <v>20</v>
      </c>
      <c r="C23" s="630"/>
      <c r="D23" s="630"/>
      <c r="E23" s="630"/>
      <c r="F23" s="630"/>
      <c r="G23" s="630"/>
      <c r="H23" s="630"/>
      <c r="I23" s="630"/>
      <c r="J23" s="103">
        <v>2E-3</v>
      </c>
      <c r="K23" s="119">
        <f t="shared" si="0"/>
        <v>0.1</v>
      </c>
    </row>
    <row r="24" spans="1:15">
      <c r="A24" s="376" t="s">
        <v>14</v>
      </c>
      <c r="B24" s="630" t="s">
        <v>21</v>
      </c>
      <c r="C24" s="630"/>
      <c r="D24" s="630"/>
      <c r="E24" s="630"/>
      <c r="F24" s="630"/>
      <c r="G24" s="630"/>
      <c r="H24" s="630"/>
      <c r="I24" s="630"/>
      <c r="J24" s="103">
        <v>2.5000000000000001E-2</v>
      </c>
      <c r="K24" s="119">
        <f t="shared" si="0"/>
        <v>1.21</v>
      </c>
      <c r="L24" s="120"/>
    </row>
    <row r="25" spans="1:15">
      <c r="A25" s="376" t="s">
        <v>1</v>
      </c>
      <c r="B25" s="622" t="s">
        <v>153</v>
      </c>
      <c r="C25" s="624"/>
      <c r="D25" s="642">
        <v>0.08</v>
      </c>
      <c r="E25" s="643"/>
      <c r="F25" s="622"/>
      <c r="G25" s="623"/>
      <c r="H25" s="623"/>
      <c r="I25" s="624"/>
      <c r="J25" s="103">
        <v>0.08</v>
      </c>
      <c r="K25" s="119">
        <f t="shared" si="0"/>
        <v>3.87</v>
      </c>
      <c r="L25" s="121"/>
    </row>
    <row r="26" spans="1:15">
      <c r="A26" s="376" t="s">
        <v>15</v>
      </c>
      <c r="B26" s="630" t="s">
        <v>22</v>
      </c>
      <c r="C26" s="630"/>
      <c r="D26" s="630"/>
      <c r="E26" s="630"/>
      <c r="F26" s="369" t="s">
        <v>23</v>
      </c>
      <c r="G26" s="122">
        <v>0.03</v>
      </c>
      <c r="H26" s="369" t="s">
        <v>24</v>
      </c>
      <c r="I26" s="306">
        <v>1</v>
      </c>
      <c r="J26" s="104">
        <f>G26*I26</f>
        <v>0.03</v>
      </c>
      <c r="K26" s="119">
        <f t="shared" si="0"/>
        <v>1.45</v>
      </c>
    </row>
    <row r="27" spans="1:15">
      <c r="A27" s="376" t="s">
        <v>16</v>
      </c>
      <c r="B27" s="630" t="s">
        <v>25</v>
      </c>
      <c r="C27" s="630"/>
      <c r="D27" s="630"/>
      <c r="E27" s="630"/>
      <c r="F27" s="630"/>
      <c r="G27" s="630"/>
      <c r="H27" s="630"/>
      <c r="I27" s="630"/>
      <c r="J27" s="103">
        <v>6.0000000000000001E-3</v>
      </c>
      <c r="K27" s="119">
        <f t="shared" si="0"/>
        <v>0.28999999999999998</v>
      </c>
      <c r="L27" s="308"/>
      <c r="M27" s="308"/>
      <c r="N27" s="308"/>
      <c r="O27" s="308"/>
    </row>
    <row r="28" spans="1:15">
      <c r="A28" s="625" t="s">
        <v>169</v>
      </c>
      <c r="B28" s="626"/>
      <c r="C28" s="626"/>
      <c r="D28" s="626"/>
      <c r="E28" s="626"/>
      <c r="F28" s="626"/>
      <c r="G28" s="626"/>
      <c r="H28" s="626"/>
      <c r="I28" s="627"/>
      <c r="J28" s="125">
        <f>SUM(J20:J27)</f>
        <v>0.3680000000000001</v>
      </c>
      <c r="K28" s="126">
        <f>SUM(K20:K27)</f>
        <v>17.8</v>
      </c>
      <c r="L28" s="308"/>
      <c r="M28" s="308"/>
      <c r="N28" s="308"/>
      <c r="O28" s="308"/>
    </row>
    <row r="29" spans="1:15">
      <c r="A29" s="628" t="s">
        <v>170</v>
      </c>
      <c r="B29" s="629"/>
      <c r="C29" s="629"/>
      <c r="D29" s="629"/>
      <c r="E29" s="629"/>
      <c r="F29" s="629"/>
      <c r="G29" s="629"/>
      <c r="H29" s="629"/>
      <c r="I29" s="629"/>
      <c r="J29" s="117"/>
      <c r="K29" s="112" t="s">
        <v>166</v>
      </c>
    </row>
    <row r="30" spans="1:15">
      <c r="A30" s="376" t="s">
        <v>4</v>
      </c>
      <c r="B30" s="150" t="s">
        <v>439</v>
      </c>
      <c r="C30" s="151"/>
      <c r="D30" s="151"/>
      <c r="E30" s="151"/>
      <c r="F30" s="151"/>
      <c r="G30" s="151"/>
      <c r="H30" s="151"/>
      <c r="I30" s="152">
        <v>1</v>
      </c>
      <c r="J30" s="153">
        <f>400/30</f>
        <v>13.333333333333334</v>
      </c>
      <c r="K30" s="123">
        <f>(J30*I30)*80%</f>
        <v>10.666666666666668</v>
      </c>
    </row>
    <row r="31" spans="1:15">
      <c r="A31" s="376" t="s">
        <v>437</v>
      </c>
      <c r="B31" s="150" t="s">
        <v>438</v>
      </c>
      <c r="C31" s="151"/>
      <c r="D31" s="151"/>
      <c r="E31" s="151"/>
      <c r="F31" s="151"/>
      <c r="G31" s="151"/>
      <c r="H31" s="151"/>
      <c r="I31" s="152">
        <v>0</v>
      </c>
      <c r="J31" s="153">
        <f>400/12</f>
        <v>33.333333333333336</v>
      </c>
      <c r="K31" s="123">
        <f>(J31*I31)*80%</f>
        <v>0</v>
      </c>
    </row>
    <row r="32" spans="1:15">
      <c r="A32" s="376" t="s">
        <v>6</v>
      </c>
      <c r="B32" s="639" t="s">
        <v>218</v>
      </c>
      <c r="C32" s="640"/>
      <c r="D32" s="640"/>
      <c r="E32" s="640"/>
      <c r="F32" s="640"/>
      <c r="G32" s="640"/>
      <c r="H32" s="154"/>
      <c r="I32" s="155">
        <v>1</v>
      </c>
      <c r="J32" s="327">
        <v>4.5</v>
      </c>
      <c r="K32" s="123">
        <f>I32*2*J32</f>
        <v>9</v>
      </c>
    </row>
    <row r="33" spans="1:11">
      <c r="A33" s="376" t="s">
        <v>10</v>
      </c>
      <c r="B33" s="639" t="s">
        <v>219</v>
      </c>
      <c r="C33" s="640"/>
      <c r="D33" s="640"/>
      <c r="E33" s="640"/>
      <c r="F33" s="640"/>
      <c r="G33" s="640"/>
      <c r="H33" s="640"/>
      <c r="I33" s="641"/>
      <c r="J33" s="156">
        <v>-0.06</v>
      </c>
      <c r="K33" s="157">
        <f>K8*J33</f>
        <v>-2.9017090909090912</v>
      </c>
    </row>
    <row r="34" spans="1:11">
      <c r="A34" s="328" t="s">
        <v>12</v>
      </c>
      <c r="B34" s="639" t="s">
        <v>440</v>
      </c>
      <c r="C34" s="640"/>
      <c r="D34" s="640"/>
      <c r="E34" s="640"/>
      <c r="F34" s="640"/>
      <c r="G34" s="640"/>
      <c r="H34" s="640"/>
      <c r="I34" s="641"/>
      <c r="J34" s="338"/>
      <c r="K34" s="339">
        <v>60</v>
      </c>
    </row>
    <row r="35" spans="1:11">
      <c r="A35" s="328" t="s">
        <v>14</v>
      </c>
      <c r="B35" s="639" t="s">
        <v>423</v>
      </c>
      <c r="C35" s="640"/>
      <c r="D35" s="640"/>
      <c r="E35" s="640"/>
      <c r="F35" s="640"/>
      <c r="G35" s="640"/>
      <c r="H35" s="640"/>
      <c r="I35" s="641"/>
      <c r="J35" s="338"/>
      <c r="K35" s="339">
        <v>20</v>
      </c>
    </row>
    <row r="36" spans="1:11">
      <c r="A36" s="328" t="s">
        <v>1</v>
      </c>
      <c r="B36" s="639" t="s">
        <v>441</v>
      </c>
      <c r="C36" s="640"/>
      <c r="D36" s="640"/>
      <c r="E36" s="640"/>
      <c r="F36" s="640"/>
      <c r="G36" s="640"/>
      <c r="H36" s="640"/>
      <c r="I36" s="641"/>
      <c r="J36" s="338"/>
      <c r="K36" s="339">
        <v>20</v>
      </c>
    </row>
    <row r="37" spans="1:11">
      <c r="A37" s="376" t="s">
        <v>15</v>
      </c>
      <c r="B37" s="639"/>
      <c r="C37" s="640"/>
      <c r="D37" s="640"/>
      <c r="E37" s="640"/>
      <c r="F37" s="640"/>
      <c r="G37" s="640"/>
      <c r="H37" s="640"/>
      <c r="I37" s="641"/>
      <c r="J37" s="369"/>
      <c r="K37" s="112"/>
    </row>
    <row r="38" spans="1:11" s="109" customFormat="1" ht="12.75">
      <c r="A38" s="376" t="s">
        <v>16</v>
      </c>
      <c r="B38" s="644" t="s">
        <v>0</v>
      </c>
      <c r="C38" s="645"/>
      <c r="D38" s="645"/>
      <c r="E38" s="645"/>
      <c r="F38" s="645"/>
      <c r="G38" s="645"/>
      <c r="H38" s="645"/>
      <c r="I38" s="645"/>
      <c r="J38" s="646"/>
      <c r="K38" s="124">
        <v>0</v>
      </c>
    </row>
    <row r="39" spans="1:11" s="109" customFormat="1" ht="12.75">
      <c r="A39" s="625" t="s">
        <v>172</v>
      </c>
      <c r="B39" s="626"/>
      <c r="C39" s="626"/>
      <c r="D39" s="626"/>
      <c r="E39" s="626"/>
      <c r="F39" s="626"/>
      <c r="G39" s="626"/>
      <c r="H39" s="626"/>
      <c r="I39" s="627"/>
      <c r="J39" s="125"/>
      <c r="K39" s="126">
        <f>SUM(K30:K38)</f>
        <v>116.76495757575758</v>
      </c>
    </row>
    <row r="40" spans="1:11" s="109" customFormat="1" ht="12.75">
      <c r="A40" s="638" t="s">
        <v>173</v>
      </c>
      <c r="B40" s="638"/>
      <c r="C40" s="638"/>
      <c r="D40" s="638"/>
      <c r="E40" s="638"/>
      <c r="F40" s="638"/>
      <c r="G40" s="638"/>
      <c r="H40" s="638"/>
      <c r="I40" s="638"/>
      <c r="J40" s="638"/>
      <c r="K40" s="128" t="s">
        <v>166</v>
      </c>
    </row>
    <row r="41" spans="1:11" s="109" customFormat="1" ht="12.75">
      <c r="A41" s="376" t="s">
        <v>174</v>
      </c>
      <c r="B41" s="622" t="s">
        <v>177</v>
      </c>
      <c r="C41" s="623"/>
      <c r="D41" s="623"/>
      <c r="E41" s="623"/>
      <c r="F41" s="623"/>
      <c r="G41" s="623"/>
      <c r="H41" s="623"/>
      <c r="I41" s="624"/>
      <c r="J41" s="372"/>
      <c r="K41" s="112">
        <f>K18</f>
        <v>7.35</v>
      </c>
    </row>
    <row r="42" spans="1:11" s="109" customFormat="1" ht="12.75">
      <c r="A42" s="376" t="s">
        <v>175</v>
      </c>
      <c r="B42" s="622" t="s">
        <v>178</v>
      </c>
      <c r="C42" s="623"/>
      <c r="D42" s="623"/>
      <c r="E42" s="623"/>
      <c r="F42" s="623"/>
      <c r="G42" s="623"/>
      <c r="H42" s="623"/>
      <c r="I42" s="624"/>
      <c r="J42" s="372"/>
      <c r="K42" s="112">
        <f>K28</f>
        <v>17.8</v>
      </c>
    </row>
    <row r="43" spans="1:11" s="109" customFormat="1" ht="12.75">
      <c r="A43" s="376" t="s">
        <v>176</v>
      </c>
      <c r="B43" s="622" t="s">
        <v>180</v>
      </c>
      <c r="C43" s="623"/>
      <c r="D43" s="623"/>
      <c r="E43" s="623"/>
      <c r="F43" s="623"/>
      <c r="G43" s="623"/>
      <c r="H43" s="623"/>
      <c r="I43" s="624"/>
      <c r="J43" s="372"/>
      <c r="K43" s="112">
        <f>K39</f>
        <v>116.76495757575758</v>
      </c>
    </row>
    <row r="44" spans="1:11" s="109" customFormat="1" ht="12.75">
      <c r="A44" s="625" t="s">
        <v>179</v>
      </c>
      <c r="B44" s="626"/>
      <c r="C44" s="626"/>
      <c r="D44" s="626"/>
      <c r="E44" s="626"/>
      <c r="F44" s="626"/>
      <c r="G44" s="626"/>
      <c r="H44" s="626"/>
      <c r="I44" s="627"/>
      <c r="J44" s="125"/>
      <c r="K44" s="126">
        <f>SUM(K41:K43)</f>
        <v>141.91495757575757</v>
      </c>
    </row>
    <row r="45" spans="1:11" s="109" customFormat="1" ht="12.75">
      <c r="A45" s="638" t="s">
        <v>171</v>
      </c>
      <c r="B45" s="638"/>
      <c r="C45" s="638"/>
      <c r="D45" s="638"/>
      <c r="E45" s="638"/>
      <c r="F45" s="638"/>
      <c r="G45" s="638"/>
      <c r="H45" s="638"/>
      <c r="I45" s="638"/>
      <c r="J45" s="127" t="s">
        <v>9</v>
      </c>
      <c r="K45" s="128" t="s">
        <v>166</v>
      </c>
    </row>
    <row r="46" spans="1:11" s="109" customFormat="1" ht="12.75">
      <c r="A46" s="376" t="s">
        <v>4</v>
      </c>
      <c r="B46" s="630" t="s">
        <v>26</v>
      </c>
      <c r="C46" s="630"/>
      <c r="D46" s="630"/>
      <c r="E46" s="630"/>
      <c r="F46" s="630"/>
      <c r="G46" s="630"/>
      <c r="H46" s="129">
        <v>30</v>
      </c>
      <c r="I46" s="130">
        <v>0.05</v>
      </c>
      <c r="J46" s="118">
        <f>H46/30/12*I46</f>
        <v>4.1666666666666666E-3</v>
      </c>
      <c r="K46" s="112">
        <f>ROUND(J46*$K$11,2)</f>
        <v>0.2</v>
      </c>
    </row>
    <row r="47" spans="1:11" s="109" customFormat="1" ht="12.75">
      <c r="A47" s="376" t="s">
        <v>6</v>
      </c>
      <c r="B47" s="630" t="s">
        <v>27</v>
      </c>
      <c r="C47" s="630"/>
      <c r="D47" s="630"/>
      <c r="E47" s="630"/>
      <c r="F47" s="630"/>
      <c r="G47" s="630"/>
      <c r="H47" s="630"/>
      <c r="I47" s="630"/>
      <c r="J47" s="118">
        <f>J25*J46</f>
        <v>3.3333333333333332E-4</v>
      </c>
      <c r="K47" s="112">
        <f>ROUND(J47*$K$11,2)</f>
        <v>0.02</v>
      </c>
    </row>
    <row r="48" spans="1:11" s="109" customFormat="1" ht="12.75">
      <c r="A48" s="376" t="s">
        <v>10</v>
      </c>
      <c r="B48" s="630" t="s">
        <v>184</v>
      </c>
      <c r="C48" s="630"/>
      <c r="D48" s="630"/>
      <c r="E48" s="630"/>
      <c r="F48" s="630"/>
      <c r="G48" s="630"/>
      <c r="H48" s="630"/>
      <c r="I48" s="630"/>
      <c r="J48" s="118">
        <f>(1/30)/12*7</f>
        <v>1.9444444444444445E-2</v>
      </c>
      <c r="K48" s="112">
        <f>ROUND(J48*$K$11,2)</f>
        <v>0.94</v>
      </c>
    </row>
    <row r="49" spans="1:15" s="109" customFormat="1" ht="12.75">
      <c r="A49" s="376" t="s">
        <v>12</v>
      </c>
      <c r="B49" s="630" t="s">
        <v>183</v>
      </c>
      <c r="C49" s="630"/>
      <c r="D49" s="630"/>
      <c r="E49" s="630"/>
      <c r="F49" s="630"/>
      <c r="G49" s="630"/>
      <c r="H49" s="630"/>
      <c r="I49" s="630"/>
      <c r="J49" s="118">
        <f>J28*J48</f>
        <v>7.1555555555555574E-3</v>
      </c>
      <c r="K49" s="112">
        <f>ROUND(J49*$K$11,2)</f>
        <v>0.35</v>
      </c>
    </row>
    <row r="50" spans="1:15" s="109" customFormat="1" ht="12.75">
      <c r="A50" s="328" t="s">
        <v>14</v>
      </c>
      <c r="B50" s="370" t="s">
        <v>403</v>
      </c>
      <c r="C50" s="370"/>
      <c r="D50" s="370"/>
      <c r="E50" s="370"/>
      <c r="F50" s="370"/>
      <c r="G50" s="370"/>
      <c r="H50" s="370"/>
      <c r="I50" s="371"/>
      <c r="J50" s="118">
        <f>0.5*J25</f>
        <v>0.04</v>
      </c>
      <c r="K50" s="112">
        <f>ROUND(J50*$K$11,2)</f>
        <v>1.93</v>
      </c>
    </row>
    <row r="51" spans="1:15" s="109" customFormat="1" ht="12.75">
      <c r="A51" s="625" t="s">
        <v>181</v>
      </c>
      <c r="B51" s="626"/>
      <c r="C51" s="626"/>
      <c r="D51" s="626"/>
      <c r="E51" s="626"/>
      <c r="F51" s="626"/>
      <c r="G51" s="626"/>
      <c r="H51" s="626"/>
      <c r="I51" s="627"/>
      <c r="J51" s="125">
        <f>SUM(J46:J50)</f>
        <v>7.1099999999999997E-2</v>
      </c>
      <c r="K51" s="126">
        <f>SUM(K46:K50)</f>
        <v>3.4399999999999995</v>
      </c>
    </row>
    <row r="52" spans="1:15" s="109" customFormat="1" ht="12.75">
      <c r="A52" s="638" t="s">
        <v>186</v>
      </c>
      <c r="B52" s="638"/>
      <c r="C52" s="638"/>
      <c r="D52" s="638"/>
      <c r="E52" s="638"/>
      <c r="F52" s="638"/>
      <c r="G52" s="638"/>
      <c r="H52" s="638"/>
      <c r="I52" s="638"/>
      <c r="J52" s="127"/>
      <c r="K52" s="128"/>
    </row>
    <row r="53" spans="1:15" s="109" customFormat="1" ht="12.75">
      <c r="A53" s="628" t="s">
        <v>191</v>
      </c>
      <c r="B53" s="629"/>
      <c r="C53" s="629"/>
      <c r="D53" s="629"/>
      <c r="E53" s="629"/>
      <c r="F53" s="629"/>
      <c r="G53" s="629"/>
      <c r="H53" s="629"/>
      <c r="I53" s="629"/>
      <c r="J53" s="117" t="s">
        <v>9</v>
      </c>
      <c r="K53" s="112" t="s">
        <v>166</v>
      </c>
    </row>
    <row r="54" spans="1:15">
      <c r="A54" s="376" t="s">
        <v>4</v>
      </c>
      <c r="B54" s="647" t="s">
        <v>187</v>
      </c>
      <c r="C54" s="647"/>
      <c r="D54" s="647"/>
      <c r="E54" s="647"/>
      <c r="F54" s="647"/>
      <c r="G54" s="647"/>
      <c r="H54" s="647"/>
      <c r="I54" s="647"/>
      <c r="J54" s="104">
        <f>1/12</f>
        <v>8.3333333333333329E-2</v>
      </c>
      <c r="K54" s="112">
        <f>ROUND(J54*$K$11,2)</f>
        <v>4.03</v>
      </c>
    </row>
    <row r="55" spans="1:15">
      <c r="A55" s="376" t="s">
        <v>6</v>
      </c>
      <c r="B55" s="630" t="s">
        <v>188</v>
      </c>
      <c r="C55" s="630"/>
      <c r="D55" s="630"/>
      <c r="E55" s="630"/>
      <c r="F55" s="648" t="s">
        <v>29</v>
      </c>
      <c r="G55" s="648"/>
      <c r="H55" s="648"/>
      <c r="I55" s="131">
        <v>6</v>
      </c>
      <c r="J55" s="104">
        <f>I55/30/12</f>
        <v>1.6666666666666666E-2</v>
      </c>
      <c r="K55" s="112">
        <f>ROUND(J55*$K$11,2)</f>
        <v>0.81</v>
      </c>
    </row>
    <row r="56" spans="1:15">
      <c r="A56" s="376" t="s">
        <v>10</v>
      </c>
      <c r="B56" s="630" t="s">
        <v>30</v>
      </c>
      <c r="C56" s="630"/>
      <c r="D56" s="630"/>
      <c r="E56" s="630"/>
      <c r="F56" s="648" t="s">
        <v>28</v>
      </c>
      <c r="G56" s="648"/>
      <c r="H56" s="132">
        <v>1.4999999999999999E-2</v>
      </c>
      <c r="I56" s="133">
        <v>5</v>
      </c>
      <c r="J56" s="104">
        <f>I56/30/12*H56</f>
        <v>2.0833333333333332E-4</v>
      </c>
      <c r="K56" s="112">
        <f>ROUND(J56*$K$11,2)</f>
        <v>0.01</v>
      </c>
    </row>
    <row r="57" spans="1:15">
      <c r="A57" s="376" t="s">
        <v>12</v>
      </c>
      <c r="B57" s="630" t="s">
        <v>189</v>
      </c>
      <c r="C57" s="630"/>
      <c r="D57" s="630"/>
      <c r="E57" s="131"/>
      <c r="F57" s="648" t="s">
        <v>28</v>
      </c>
      <c r="G57" s="648"/>
      <c r="H57" s="132">
        <v>8.0000000000000002E-3</v>
      </c>
      <c r="I57" s="134">
        <v>20</v>
      </c>
      <c r="J57" s="104">
        <f>I57/30/12*H57</f>
        <v>4.4444444444444441E-4</v>
      </c>
      <c r="K57" s="112">
        <f>ROUND(J57*$K$11,2)</f>
        <v>0.02</v>
      </c>
    </row>
    <row r="58" spans="1:15">
      <c r="A58" s="376" t="s">
        <v>14</v>
      </c>
      <c r="B58" s="630" t="s">
        <v>190</v>
      </c>
      <c r="C58" s="630"/>
      <c r="D58" s="630"/>
      <c r="E58" s="131"/>
      <c r="F58" s="653"/>
      <c r="G58" s="648"/>
      <c r="H58" s="132">
        <v>0.02</v>
      </c>
      <c r="I58" s="134">
        <v>10</v>
      </c>
      <c r="J58" s="104">
        <f>I58/30/12*H58</f>
        <v>5.5555555555555556E-4</v>
      </c>
      <c r="K58" s="112">
        <f>ROUND(J58*$K$11,2)</f>
        <v>0.03</v>
      </c>
      <c r="L58" s="111"/>
    </row>
    <row r="59" spans="1:15">
      <c r="A59" s="376" t="s">
        <v>1</v>
      </c>
      <c r="B59" s="649" t="s">
        <v>0</v>
      </c>
      <c r="C59" s="649"/>
      <c r="D59" s="649" t="s">
        <v>31</v>
      </c>
      <c r="E59" s="649"/>
      <c r="F59" s="649"/>
      <c r="G59" s="649"/>
      <c r="H59" s="649"/>
      <c r="I59" s="649"/>
      <c r="J59" s="103"/>
      <c r="K59" s="112">
        <f>J59*$K$11</f>
        <v>0</v>
      </c>
      <c r="L59" s="111"/>
    </row>
    <row r="60" spans="1:15">
      <c r="A60" s="650" t="s">
        <v>216</v>
      </c>
      <c r="B60" s="651"/>
      <c r="C60" s="651"/>
      <c r="D60" s="651"/>
      <c r="E60" s="651"/>
      <c r="F60" s="651"/>
      <c r="G60" s="651"/>
      <c r="H60" s="651"/>
      <c r="I60" s="652"/>
      <c r="J60" s="135">
        <f>SUM(J54:J59)</f>
        <v>0.10120833333333333</v>
      </c>
      <c r="K60" s="112">
        <f>SUM(K54:K59)</f>
        <v>4.8999999999999995</v>
      </c>
    </row>
    <row r="61" spans="1:15">
      <c r="A61" s="376" t="s">
        <v>12</v>
      </c>
      <c r="B61" s="332" t="s">
        <v>215</v>
      </c>
      <c r="C61" s="332"/>
      <c r="D61" s="332"/>
      <c r="E61" s="332"/>
      <c r="F61" s="332"/>
      <c r="G61" s="332"/>
      <c r="H61" s="332"/>
      <c r="I61" s="333"/>
      <c r="J61" s="336">
        <f>J60*J28</f>
        <v>3.7244666666666676E-2</v>
      </c>
      <c r="K61" s="331">
        <f>ROUND(J61*$K$11,2)</f>
        <v>1.8</v>
      </c>
    </row>
    <row r="62" spans="1:15">
      <c r="A62" s="625" t="s">
        <v>192</v>
      </c>
      <c r="B62" s="626"/>
      <c r="C62" s="626"/>
      <c r="D62" s="626"/>
      <c r="E62" s="626"/>
      <c r="F62" s="626"/>
      <c r="G62" s="626"/>
      <c r="H62" s="626"/>
      <c r="I62" s="627"/>
      <c r="J62" s="148">
        <f>SUM(J60:J61)</f>
        <v>0.13845299999999999</v>
      </c>
      <c r="K62" s="126">
        <f>SUM(K60:K61)</f>
        <v>6.6999999999999993</v>
      </c>
      <c r="L62" s="149"/>
      <c r="M62" s="149"/>
      <c r="N62" s="149"/>
      <c r="O62" s="149"/>
    </row>
    <row r="63" spans="1:15">
      <c r="A63" s="628" t="s">
        <v>193</v>
      </c>
      <c r="B63" s="629"/>
      <c r="C63" s="629"/>
      <c r="D63" s="629"/>
      <c r="E63" s="629"/>
      <c r="F63" s="629"/>
      <c r="G63" s="629"/>
      <c r="H63" s="629"/>
      <c r="I63" s="629"/>
      <c r="J63" s="117" t="s">
        <v>9</v>
      </c>
      <c r="K63" s="112" t="s">
        <v>166</v>
      </c>
    </row>
    <row r="64" spans="1:15">
      <c r="A64" s="376" t="s">
        <v>4</v>
      </c>
      <c r="B64" s="647" t="s">
        <v>194</v>
      </c>
      <c r="C64" s="647"/>
      <c r="D64" s="647"/>
      <c r="E64" s="647"/>
      <c r="F64" s="647"/>
      <c r="G64" s="647"/>
      <c r="H64" s="647"/>
      <c r="I64" s="647"/>
      <c r="J64" s="104"/>
      <c r="K64" s="112">
        <f>J64*$K$11</f>
        <v>0</v>
      </c>
    </row>
    <row r="65" spans="1:13">
      <c r="A65" s="650" t="s">
        <v>195</v>
      </c>
      <c r="B65" s="651"/>
      <c r="C65" s="651"/>
      <c r="D65" s="651"/>
      <c r="E65" s="651"/>
      <c r="F65" s="651"/>
      <c r="G65" s="651"/>
      <c r="H65" s="651"/>
      <c r="I65" s="652"/>
      <c r="J65" s="135"/>
      <c r="K65" s="112">
        <f>SUM(K64:K64)</f>
        <v>0</v>
      </c>
    </row>
    <row r="66" spans="1:13">
      <c r="A66" s="638" t="s">
        <v>196</v>
      </c>
      <c r="B66" s="638"/>
      <c r="C66" s="638"/>
      <c r="D66" s="638"/>
      <c r="E66" s="638"/>
      <c r="F66" s="638"/>
      <c r="G66" s="638"/>
      <c r="H66" s="638"/>
      <c r="I66" s="638"/>
      <c r="J66" s="638"/>
      <c r="K66" s="128" t="s">
        <v>166</v>
      </c>
    </row>
    <row r="67" spans="1:13">
      <c r="A67" s="376" t="s">
        <v>197</v>
      </c>
      <c r="B67" s="622" t="s">
        <v>188</v>
      </c>
      <c r="C67" s="623"/>
      <c r="D67" s="623"/>
      <c r="E67" s="623"/>
      <c r="F67" s="623"/>
      <c r="G67" s="623"/>
      <c r="H67" s="623"/>
      <c r="I67" s="624"/>
      <c r="J67" s="372"/>
      <c r="K67" s="112">
        <f>K62</f>
        <v>6.6999999999999993</v>
      </c>
    </row>
    <row r="68" spans="1:13">
      <c r="A68" s="376" t="s">
        <v>198</v>
      </c>
      <c r="B68" s="622" t="s">
        <v>199</v>
      </c>
      <c r="C68" s="623"/>
      <c r="D68" s="623"/>
      <c r="E68" s="623"/>
      <c r="F68" s="623"/>
      <c r="G68" s="623"/>
      <c r="H68" s="623"/>
      <c r="I68" s="624"/>
      <c r="J68" s="372"/>
      <c r="K68" s="112">
        <f>K65</f>
        <v>0</v>
      </c>
    </row>
    <row r="69" spans="1:13">
      <c r="A69" s="625" t="s">
        <v>200</v>
      </c>
      <c r="B69" s="626"/>
      <c r="C69" s="626"/>
      <c r="D69" s="626"/>
      <c r="E69" s="626"/>
      <c r="F69" s="626"/>
      <c r="G69" s="626"/>
      <c r="H69" s="626"/>
      <c r="I69" s="627"/>
      <c r="J69" s="125"/>
      <c r="K69" s="126">
        <f>SUM(K67:K68)</f>
        <v>6.6999999999999993</v>
      </c>
    </row>
    <row r="70" spans="1:13" s="109" customFormat="1" ht="12.75">
      <c r="A70" s="662"/>
      <c r="B70" s="663"/>
      <c r="C70" s="663"/>
      <c r="D70" s="663"/>
      <c r="E70" s="663"/>
      <c r="F70" s="663"/>
      <c r="G70" s="663"/>
      <c r="H70" s="663"/>
      <c r="I70" s="663"/>
      <c r="J70" s="663"/>
      <c r="K70" s="663"/>
    </row>
    <row r="71" spans="1:13" s="109" customFormat="1" ht="12.75">
      <c r="A71" s="638" t="s">
        <v>201</v>
      </c>
      <c r="B71" s="638"/>
      <c r="C71" s="638"/>
      <c r="D71" s="638"/>
      <c r="E71" s="638"/>
      <c r="F71" s="638"/>
      <c r="G71" s="638"/>
      <c r="H71" s="638"/>
      <c r="I71" s="638"/>
      <c r="J71" s="127"/>
      <c r="K71" s="128" t="s">
        <v>166</v>
      </c>
      <c r="L71" s="136"/>
    </row>
    <row r="72" spans="1:13" s="109" customFormat="1" ht="12.75">
      <c r="A72" s="376" t="s">
        <v>4</v>
      </c>
      <c r="B72" s="654" t="s">
        <v>429</v>
      </c>
      <c r="C72" s="654"/>
      <c r="D72" s="654"/>
      <c r="E72" s="654"/>
      <c r="F72" s="654"/>
      <c r="G72" s="654"/>
      <c r="H72" s="654"/>
      <c r="I72" s="654"/>
      <c r="J72" s="654"/>
      <c r="K72" s="112">
        <v>163.41999999999999</v>
      </c>
    </row>
    <row r="73" spans="1:13" s="109" customFormat="1" ht="12.75">
      <c r="A73" s="376" t="s">
        <v>6</v>
      </c>
      <c r="B73" s="655" t="s">
        <v>212</v>
      </c>
      <c r="C73" s="656"/>
      <c r="D73" s="657" t="s">
        <v>55</v>
      </c>
      <c r="E73" s="658"/>
      <c r="F73" s="658"/>
      <c r="G73" s="658"/>
      <c r="H73" s="659"/>
      <c r="I73" s="660">
        <v>0.12</v>
      </c>
      <c r="J73" s="661"/>
      <c r="K73" s="124">
        <f>(K$11+K$44+K$51+K$62)*I73</f>
        <v>24.05001309090909</v>
      </c>
      <c r="L73" s="137"/>
      <c r="M73" s="111"/>
    </row>
    <row r="74" spans="1:13" s="109" customFormat="1" ht="12.75">
      <c r="A74" s="376" t="s">
        <v>10</v>
      </c>
      <c r="B74" s="374" t="s">
        <v>396</v>
      </c>
      <c r="C74" s="375"/>
      <c r="D74" s="657" t="s">
        <v>55</v>
      </c>
      <c r="E74" s="658"/>
      <c r="F74" s="658"/>
      <c r="G74" s="658"/>
      <c r="H74" s="659"/>
      <c r="I74" s="660">
        <v>0.12</v>
      </c>
      <c r="J74" s="661"/>
      <c r="K74" s="124">
        <f>(K$11+K$44+K$51+K$62)*I74</f>
        <v>24.05001309090909</v>
      </c>
      <c r="L74" s="137"/>
      <c r="M74" s="111"/>
    </row>
    <row r="75" spans="1:13" s="109" customFormat="1" ht="12.75">
      <c r="A75" s="625" t="s">
        <v>207</v>
      </c>
      <c r="B75" s="626"/>
      <c r="C75" s="626"/>
      <c r="D75" s="626"/>
      <c r="E75" s="626"/>
      <c r="F75" s="626"/>
      <c r="G75" s="626"/>
      <c r="H75" s="626"/>
      <c r="I75" s="627"/>
      <c r="J75" s="125"/>
      <c r="K75" s="126">
        <f>SUM(K72:K74)</f>
        <v>211.52002618181817</v>
      </c>
    </row>
    <row r="76" spans="1:13" s="109" customFormat="1" ht="12.75">
      <c r="A76" s="638" t="s">
        <v>205</v>
      </c>
      <c r="B76" s="638"/>
      <c r="C76" s="638"/>
      <c r="D76" s="638"/>
      <c r="E76" s="638"/>
      <c r="F76" s="638"/>
      <c r="G76" s="638"/>
      <c r="H76" s="638"/>
      <c r="I76" s="638"/>
      <c r="J76" s="127"/>
      <c r="K76" s="128">
        <f>K5</f>
        <v>0</v>
      </c>
    </row>
    <row r="77" spans="1:13" s="109" customFormat="1" ht="12.75">
      <c r="A77" s="376" t="s">
        <v>4</v>
      </c>
      <c r="B77" s="647" t="s">
        <v>206</v>
      </c>
      <c r="C77" s="647"/>
      <c r="D77" s="647"/>
      <c r="E77" s="647"/>
      <c r="F77" s="647"/>
      <c r="G77" s="647"/>
      <c r="H77" s="647"/>
      <c r="I77" s="647"/>
      <c r="J77" s="138">
        <v>0.1</v>
      </c>
      <c r="K77" s="119">
        <f>J77*K95</f>
        <v>41.1936801939394</v>
      </c>
      <c r="L77" s="139"/>
    </row>
    <row r="78" spans="1:13" s="109" customFormat="1" ht="12.75">
      <c r="A78" s="376" t="s">
        <v>6</v>
      </c>
      <c r="B78" s="647" t="s">
        <v>32</v>
      </c>
      <c r="C78" s="647"/>
      <c r="D78" s="647"/>
      <c r="E78" s="647"/>
      <c r="F78" s="647"/>
      <c r="G78" s="647"/>
      <c r="H78" s="647"/>
      <c r="I78" s="647"/>
      <c r="J78" s="138">
        <v>0.1</v>
      </c>
      <c r="K78" s="119">
        <f>J78*(K95+K77)</f>
        <v>45.313048213333332</v>
      </c>
      <c r="L78" s="139"/>
    </row>
    <row r="79" spans="1:13" s="109" customFormat="1" ht="12.75">
      <c r="A79" s="664" t="s">
        <v>10</v>
      </c>
      <c r="B79" s="665" t="s">
        <v>33</v>
      </c>
      <c r="C79" s="666"/>
      <c r="D79" s="666"/>
      <c r="E79" s="666"/>
      <c r="F79" s="666"/>
      <c r="G79" s="666"/>
      <c r="H79" s="667"/>
      <c r="I79" s="668">
        <f>K95+K77+K78</f>
        <v>498.44353034666665</v>
      </c>
      <c r="J79" s="669"/>
      <c r="K79" s="140"/>
    </row>
    <row r="80" spans="1:13" s="109" customFormat="1" ht="12.75">
      <c r="A80" s="664"/>
      <c r="B80" s="622" t="s">
        <v>34</v>
      </c>
      <c r="C80" s="623"/>
      <c r="D80" s="623"/>
      <c r="E80" s="624"/>
      <c r="F80" s="373"/>
      <c r="G80" s="373" t="s">
        <v>35</v>
      </c>
      <c r="H80" s="373" t="s">
        <v>382</v>
      </c>
      <c r="I80" s="670"/>
      <c r="J80" s="671"/>
      <c r="K80" s="140"/>
    </row>
    <row r="81" spans="1:11" s="109" customFormat="1" ht="12.75">
      <c r="A81" s="664"/>
      <c r="B81" s="630" t="s">
        <v>36</v>
      </c>
      <c r="C81" s="630"/>
      <c r="D81" s="630"/>
      <c r="E81" s="630"/>
      <c r="F81" s="373" t="s">
        <v>37</v>
      </c>
      <c r="G81" s="141">
        <v>1.6500000000000001E-2</v>
      </c>
      <c r="H81" s="674">
        <f>SUM(G81:G86)</f>
        <v>0.14250000000000002</v>
      </c>
      <c r="I81" s="675">
        <f t="shared" ref="I81:I86" si="1">ROUND($K$97*G81,2)</f>
        <v>9.59</v>
      </c>
      <c r="J81" s="676"/>
      <c r="K81" s="677">
        <f>SUM(I81:J86)</f>
        <v>82.83</v>
      </c>
    </row>
    <row r="82" spans="1:11" s="109" customFormat="1" ht="12.75">
      <c r="A82" s="664"/>
      <c r="B82" s="630"/>
      <c r="C82" s="630"/>
      <c r="D82" s="630"/>
      <c r="E82" s="630"/>
      <c r="F82" s="373" t="s">
        <v>38</v>
      </c>
      <c r="G82" s="141">
        <v>7.5999999999999998E-2</v>
      </c>
      <c r="H82" s="674"/>
      <c r="I82" s="675">
        <f t="shared" si="1"/>
        <v>44.18</v>
      </c>
      <c r="J82" s="676"/>
      <c r="K82" s="678"/>
    </row>
    <row r="83" spans="1:11" s="109" customFormat="1" ht="12.75">
      <c r="A83" s="664"/>
      <c r="B83" s="630"/>
      <c r="C83" s="630"/>
      <c r="D83" s="630"/>
      <c r="E83" s="630"/>
      <c r="F83" s="373" t="s">
        <v>39</v>
      </c>
      <c r="G83" s="141">
        <v>0</v>
      </c>
      <c r="H83" s="674"/>
      <c r="I83" s="675">
        <f t="shared" si="1"/>
        <v>0</v>
      </c>
      <c r="J83" s="676"/>
      <c r="K83" s="678"/>
    </row>
    <row r="84" spans="1:11" s="109" customFormat="1" ht="12.75">
      <c r="A84" s="664"/>
      <c r="B84" s="630" t="s">
        <v>40</v>
      </c>
      <c r="C84" s="630"/>
      <c r="D84" s="630"/>
      <c r="E84" s="630"/>
      <c r="F84" s="105" t="s">
        <v>41</v>
      </c>
      <c r="G84" s="141">
        <v>0.05</v>
      </c>
      <c r="H84" s="674"/>
      <c r="I84" s="675">
        <f t="shared" si="1"/>
        <v>29.06</v>
      </c>
      <c r="J84" s="676"/>
      <c r="K84" s="678"/>
    </row>
    <row r="85" spans="1:11" s="109" customFormat="1" ht="12.75">
      <c r="A85" s="664"/>
      <c r="B85" s="630"/>
      <c r="C85" s="630"/>
      <c r="D85" s="630"/>
      <c r="E85" s="630"/>
      <c r="F85" s="105" t="s">
        <v>39</v>
      </c>
      <c r="G85" s="141">
        <v>0</v>
      </c>
      <c r="H85" s="674"/>
      <c r="I85" s="675">
        <f>ROUND($K$97*G85,2)</f>
        <v>0</v>
      </c>
      <c r="J85" s="676"/>
      <c r="K85" s="678"/>
    </row>
    <row r="86" spans="1:11" s="109" customFormat="1" ht="12.75">
      <c r="A86" s="664"/>
      <c r="B86" s="630" t="s">
        <v>42</v>
      </c>
      <c r="C86" s="630"/>
      <c r="D86" s="630"/>
      <c r="E86" s="630"/>
      <c r="F86" s="105"/>
      <c r="G86" s="141">
        <v>0</v>
      </c>
      <c r="H86" s="674"/>
      <c r="I86" s="675">
        <f t="shared" si="1"/>
        <v>0</v>
      </c>
      <c r="J86" s="676"/>
      <c r="K86" s="679"/>
    </row>
    <row r="87" spans="1:11" s="109" customFormat="1" ht="12.75">
      <c r="A87" s="664" t="s">
        <v>43</v>
      </c>
      <c r="B87" s="664"/>
      <c r="C87" s="664"/>
      <c r="D87" s="664"/>
      <c r="E87" s="664"/>
      <c r="F87" s="664"/>
      <c r="G87" s="664"/>
      <c r="H87" s="664"/>
      <c r="I87" s="664"/>
      <c r="J87" s="664"/>
      <c r="K87" s="106">
        <f>K81+K78+K77</f>
        <v>169.33672840727272</v>
      </c>
    </row>
    <row r="88" spans="1:11" s="109" customFormat="1" ht="12.75">
      <c r="A88" s="672" t="s">
        <v>44</v>
      </c>
      <c r="B88" s="672"/>
      <c r="C88" s="672"/>
      <c r="D88" s="672"/>
      <c r="E88" s="672"/>
      <c r="F88" s="672"/>
      <c r="G88" s="672"/>
      <c r="H88" s="672"/>
      <c r="I88" s="672"/>
      <c r="J88" s="672"/>
      <c r="K88" s="672"/>
    </row>
    <row r="89" spans="1:11" s="109" customFormat="1" ht="12.75">
      <c r="A89" s="673" t="s">
        <v>45</v>
      </c>
      <c r="B89" s="673"/>
      <c r="C89" s="673"/>
      <c r="D89" s="673"/>
      <c r="E89" s="673"/>
      <c r="F89" s="673"/>
      <c r="G89" s="673"/>
      <c r="H89" s="673"/>
      <c r="I89" s="673"/>
      <c r="J89" s="673"/>
      <c r="K89" s="110">
        <f>K5</f>
        <v>0</v>
      </c>
    </row>
    <row r="90" spans="1:11" s="109" customFormat="1" ht="12.75">
      <c r="A90" s="376" t="s">
        <v>4</v>
      </c>
      <c r="B90" s="647" t="str">
        <f>A7</f>
        <v xml:space="preserve">MÓDULO 01 – Composição da Remuneração </v>
      </c>
      <c r="C90" s="647"/>
      <c r="D90" s="647"/>
      <c r="E90" s="647"/>
      <c r="F90" s="647"/>
      <c r="G90" s="647"/>
      <c r="H90" s="647"/>
      <c r="I90" s="647"/>
      <c r="J90" s="647"/>
      <c r="K90" s="142">
        <f>K11</f>
        <v>48.361818181818187</v>
      </c>
    </row>
    <row r="91" spans="1:11" s="109" customFormat="1" ht="12.75">
      <c r="A91" s="376" t="s">
        <v>6</v>
      </c>
      <c r="B91" s="647" t="str">
        <f>A12</f>
        <v>MÓDULO 2 – ENCARGOS E BENEFÍCIOS ANUAIS, MENSAIS E DIÁRIOS</v>
      </c>
      <c r="C91" s="647"/>
      <c r="D91" s="647"/>
      <c r="E91" s="647"/>
      <c r="F91" s="647"/>
      <c r="G91" s="647"/>
      <c r="H91" s="647"/>
      <c r="I91" s="647"/>
      <c r="J91" s="647"/>
      <c r="K91" s="142">
        <f>K44</f>
        <v>141.91495757575757</v>
      </c>
    </row>
    <row r="92" spans="1:11" s="109" customFormat="1" ht="12.75">
      <c r="A92" s="376" t="s">
        <v>10</v>
      </c>
      <c r="B92" s="647" t="str">
        <f>A45</f>
        <v>MÓDULO 3 – PROVISÃO PARA RESCISÃO</v>
      </c>
      <c r="C92" s="647"/>
      <c r="D92" s="647"/>
      <c r="E92" s="647"/>
      <c r="F92" s="647"/>
      <c r="G92" s="647"/>
      <c r="H92" s="647"/>
      <c r="I92" s="647"/>
      <c r="J92" s="647"/>
      <c r="K92" s="142">
        <f>K51</f>
        <v>3.4399999999999995</v>
      </c>
    </row>
    <row r="93" spans="1:11" s="109" customFormat="1" ht="12.75">
      <c r="A93" s="376" t="s">
        <v>12</v>
      </c>
      <c r="B93" s="647" t="str">
        <f>A52</f>
        <v>MÓDULO 4 – CUSTO DE REPOSIÇÃO DO PROFISSIONAL AUSENTE</v>
      </c>
      <c r="C93" s="647"/>
      <c r="D93" s="647"/>
      <c r="E93" s="647"/>
      <c r="F93" s="647"/>
      <c r="G93" s="647"/>
      <c r="H93" s="647"/>
      <c r="I93" s="647"/>
      <c r="J93" s="647"/>
      <c r="K93" s="142">
        <f>K62</f>
        <v>6.6999999999999993</v>
      </c>
    </row>
    <row r="94" spans="1:11" s="109" customFormat="1" ht="12.75">
      <c r="A94" s="376" t="s">
        <v>14</v>
      </c>
      <c r="B94" s="647" t="str">
        <f>A71</f>
        <v>MÓDULO 5 – INSUMOS DIVERSOS</v>
      </c>
      <c r="C94" s="647"/>
      <c r="D94" s="647"/>
      <c r="E94" s="647"/>
      <c r="F94" s="647"/>
      <c r="G94" s="647"/>
      <c r="H94" s="647"/>
      <c r="I94" s="647"/>
      <c r="J94" s="647"/>
      <c r="K94" s="142">
        <f>K75</f>
        <v>211.52002618181817</v>
      </c>
    </row>
    <row r="95" spans="1:11" s="109" customFormat="1" ht="12.75">
      <c r="A95" s="673" t="s">
        <v>209</v>
      </c>
      <c r="B95" s="673"/>
      <c r="C95" s="673"/>
      <c r="D95" s="673"/>
      <c r="E95" s="673"/>
      <c r="F95" s="673"/>
      <c r="G95" s="673"/>
      <c r="H95" s="673"/>
      <c r="I95" s="673"/>
      <c r="J95" s="673"/>
      <c r="K95" s="107">
        <f>SUM(K90:K94)</f>
        <v>411.93680193939394</v>
      </c>
    </row>
    <row r="96" spans="1:11" s="109" customFormat="1" ht="12.75">
      <c r="A96" s="376" t="s">
        <v>14</v>
      </c>
      <c r="B96" s="647" t="s">
        <v>46</v>
      </c>
      <c r="C96" s="647"/>
      <c r="D96" s="647"/>
      <c r="E96" s="647"/>
      <c r="F96" s="647"/>
      <c r="G96" s="647"/>
      <c r="H96" s="647"/>
      <c r="I96" s="647"/>
      <c r="J96" s="647"/>
      <c r="K96" s="108">
        <f>K97-K95</f>
        <v>169.34319806060603</v>
      </c>
    </row>
    <row r="97" spans="1:15" s="109" customFormat="1" ht="12.75">
      <c r="A97" s="694" t="s">
        <v>47</v>
      </c>
      <c r="B97" s="694"/>
      <c r="C97" s="694"/>
      <c r="D97" s="694"/>
      <c r="E97" s="694"/>
      <c r="F97" s="694"/>
      <c r="G97" s="694"/>
      <c r="H97" s="694"/>
      <c r="I97" s="694"/>
      <c r="J97" s="694"/>
      <c r="K97" s="143">
        <f>ROUND(I79/(1-$H$81),2)</f>
        <v>581.28</v>
      </c>
    </row>
    <row r="98" spans="1:15" s="109" customFormat="1" ht="12.75">
      <c r="A98" s="695" t="s">
        <v>214</v>
      </c>
      <c r="B98" s="686"/>
      <c r="C98" s="686"/>
      <c r="D98" s="686"/>
      <c r="E98" s="686"/>
      <c r="F98" s="686"/>
      <c r="G98" s="686"/>
      <c r="H98" s="686"/>
      <c r="I98" s="158"/>
      <c r="J98" s="377">
        <v>1</v>
      </c>
      <c r="K98" s="159">
        <f>K97</f>
        <v>581.28</v>
      </c>
    </row>
    <row r="99" spans="1:15" s="109" customFormat="1" ht="13.5" thickBot="1">
      <c r="A99" s="680" t="s">
        <v>217</v>
      </c>
      <c r="B99" s="680"/>
      <c r="C99" s="680"/>
      <c r="D99" s="680"/>
      <c r="E99" s="681"/>
      <c r="F99" s="681"/>
      <c r="G99" s="681"/>
      <c r="H99" s="681"/>
      <c r="I99" s="680"/>
      <c r="J99" s="680"/>
      <c r="K99" s="160">
        <f>K98*12</f>
        <v>6975.36</v>
      </c>
    </row>
    <row r="100" spans="1:15" s="109" customFormat="1" ht="15" customHeight="1">
      <c r="G100" s="161"/>
      <c r="H100" s="682" t="s">
        <v>48</v>
      </c>
      <c r="I100" s="683"/>
      <c r="J100" s="683"/>
      <c r="K100" s="684"/>
    </row>
    <row r="101" spans="1:15" s="109" customFormat="1" ht="12.75">
      <c r="G101" s="162"/>
      <c r="H101" s="685" t="s">
        <v>49</v>
      </c>
      <c r="I101" s="686"/>
      <c r="J101" s="687"/>
      <c r="K101" s="163" t="s">
        <v>9</v>
      </c>
    </row>
    <row r="102" spans="1:15" ht="15" customHeight="1">
      <c r="G102" s="164"/>
      <c r="H102" s="165" t="s">
        <v>50</v>
      </c>
      <c r="I102" s="144"/>
      <c r="J102" s="145"/>
      <c r="K102" s="166">
        <f>J77</f>
        <v>0.1</v>
      </c>
      <c r="M102" s="307"/>
      <c r="N102" s="307"/>
      <c r="O102" s="307"/>
    </row>
    <row r="103" spans="1:15" ht="15" customHeight="1">
      <c r="G103" s="164"/>
      <c r="H103" s="688" t="s">
        <v>32</v>
      </c>
      <c r="I103" s="689"/>
      <c r="J103" s="690"/>
      <c r="K103" s="166">
        <f>J78</f>
        <v>0.1</v>
      </c>
      <c r="M103" s="307"/>
      <c r="N103" s="307"/>
      <c r="O103" s="307"/>
    </row>
    <row r="104" spans="1:15" ht="15" customHeight="1">
      <c r="G104" s="164"/>
      <c r="H104" s="165" t="s">
        <v>51</v>
      </c>
      <c r="I104" s="144"/>
      <c r="J104" s="145"/>
      <c r="K104" s="166">
        <f>H81</f>
        <v>0.14250000000000002</v>
      </c>
      <c r="M104" s="307"/>
      <c r="N104" s="307"/>
      <c r="O104" s="307"/>
    </row>
    <row r="105" spans="1:15" ht="15.75" customHeight="1" thickBot="1">
      <c r="G105" s="164"/>
      <c r="H105" s="691" t="s">
        <v>52</v>
      </c>
      <c r="I105" s="692"/>
      <c r="J105" s="693"/>
      <c r="K105" s="167">
        <f>(1+K102)*(1+K103)/(1-K104)-1</f>
        <v>0.41107871720116651</v>
      </c>
      <c r="M105" s="307"/>
      <c r="N105" s="307"/>
      <c r="O105" s="307"/>
    </row>
    <row r="106" spans="1:15" ht="20.25" customHeight="1">
      <c r="G106" s="164"/>
      <c r="H106" s="168"/>
      <c r="I106" s="168"/>
      <c r="J106" s="168"/>
      <c r="K106" s="169"/>
      <c r="M106" s="307"/>
      <c r="N106" s="307"/>
      <c r="O106" s="307"/>
    </row>
    <row r="107" spans="1:15" ht="15" customHeight="1">
      <c r="G107" s="164"/>
      <c r="H107" s="168"/>
      <c r="I107" s="168"/>
      <c r="J107" s="168"/>
      <c r="K107" s="169"/>
      <c r="M107" s="307"/>
      <c r="N107" s="307"/>
      <c r="O107" s="307"/>
    </row>
    <row r="108" spans="1:15" ht="15" customHeight="1">
      <c r="G108" s="164"/>
      <c r="H108" s="168"/>
      <c r="I108" s="168"/>
      <c r="J108" s="168"/>
      <c r="K108" s="169"/>
      <c r="M108" s="307"/>
      <c r="N108" s="307"/>
      <c r="O108" s="307"/>
    </row>
    <row r="109" spans="1:15" ht="15" customHeight="1">
      <c r="G109" s="164"/>
      <c r="M109" s="307"/>
      <c r="N109" s="307"/>
      <c r="O109" s="307"/>
    </row>
    <row r="110" spans="1:15">
      <c r="A110" s="329">
        <v>0.03</v>
      </c>
      <c r="B110" s="109" t="s">
        <v>398</v>
      </c>
    </row>
    <row r="111" spans="1:15">
      <c r="B111" s="326" t="s">
        <v>442</v>
      </c>
    </row>
    <row r="113" spans="1:11" s="109" customFormat="1" ht="12.75">
      <c r="A113" s="116">
        <v>3.9</v>
      </c>
      <c r="B113" s="109" t="s">
        <v>397</v>
      </c>
      <c r="H113" s="146"/>
      <c r="I113" s="147"/>
      <c r="K113" s="116"/>
    </row>
    <row r="114" spans="1:11" s="109" customFormat="1">
      <c r="B114" s="326" t="s">
        <v>443</v>
      </c>
      <c r="H114" s="146"/>
      <c r="I114" s="147"/>
      <c r="K114" s="116"/>
    </row>
    <row r="115" spans="1:11" s="109" customFormat="1">
      <c r="B115" s="326" t="s">
        <v>444</v>
      </c>
      <c r="H115" s="146"/>
      <c r="I115" s="147"/>
      <c r="K115" s="116"/>
    </row>
  </sheetData>
  <mergeCells count="117">
    <mergeCell ref="A99:J99"/>
    <mergeCell ref="H100:K100"/>
    <mergeCell ref="H101:J101"/>
    <mergeCell ref="H103:J103"/>
    <mergeCell ref="H105:J105"/>
    <mergeCell ref="B93:J93"/>
    <mergeCell ref="B94:J94"/>
    <mergeCell ref="A95:J95"/>
    <mergeCell ref="B96:J96"/>
    <mergeCell ref="A97:J97"/>
    <mergeCell ref="A98:H98"/>
    <mergeCell ref="A87:J87"/>
    <mergeCell ref="A88:K88"/>
    <mergeCell ref="A89:J89"/>
    <mergeCell ref="B90:J90"/>
    <mergeCell ref="B91:J91"/>
    <mergeCell ref="B92:J92"/>
    <mergeCell ref="H81:H86"/>
    <mergeCell ref="I81:J81"/>
    <mergeCell ref="K81:K86"/>
    <mergeCell ref="I82:J82"/>
    <mergeCell ref="I83:J83"/>
    <mergeCell ref="B84:E85"/>
    <mergeCell ref="I84:J84"/>
    <mergeCell ref="I85:J85"/>
    <mergeCell ref="B86:E86"/>
    <mergeCell ref="I86:J86"/>
    <mergeCell ref="A75:I75"/>
    <mergeCell ref="A76:I76"/>
    <mergeCell ref="B77:I77"/>
    <mergeCell ref="B78:I78"/>
    <mergeCell ref="A79:A86"/>
    <mergeCell ref="B79:H79"/>
    <mergeCell ref="I79:J79"/>
    <mergeCell ref="B80:E80"/>
    <mergeCell ref="I80:J80"/>
    <mergeCell ref="B81:E83"/>
    <mergeCell ref="B72:J72"/>
    <mergeCell ref="B73:C73"/>
    <mergeCell ref="D73:H73"/>
    <mergeCell ref="I73:J73"/>
    <mergeCell ref="D74:H74"/>
    <mergeCell ref="I74:J74"/>
    <mergeCell ref="A66:J66"/>
    <mergeCell ref="B67:I67"/>
    <mergeCell ref="B68:I68"/>
    <mergeCell ref="A69:I69"/>
    <mergeCell ref="A70:K70"/>
    <mergeCell ref="A71:I71"/>
    <mergeCell ref="B59:I59"/>
    <mergeCell ref="A60:I60"/>
    <mergeCell ref="A62:I62"/>
    <mergeCell ref="A63:I63"/>
    <mergeCell ref="B64:I64"/>
    <mergeCell ref="A65:I65"/>
    <mergeCell ref="B56:E56"/>
    <mergeCell ref="F56:G56"/>
    <mergeCell ref="B57:D57"/>
    <mergeCell ref="F57:G57"/>
    <mergeCell ref="B58:D58"/>
    <mergeCell ref="F58:G58"/>
    <mergeCell ref="A51:I51"/>
    <mergeCell ref="A52:I52"/>
    <mergeCell ref="A53:I53"/>
    <mergeCell ref="B54:I54"/>
    <mergeCell ref="B55:E55"/>
    <mergeCell ref="F55:H55"/>
    <mergeCell ref="B46:G46"/>
    <mergeCell ref="B47:G47"/>
    <mergeCell ref="H47:I47"/>
    <mergeCell ref="B48:G48"/>
    <mergeCell ref="H48:I48"/>
    <mergeCell ref="B49:G49"/>
    <mergeCell ref="H49:I49"/>
    <mergeCell ref="A40:J40"/>
    <mergeCell ref="B41:I41"/>
    <mergeCell ref="B42:I42"/>
    <mergeCell ref="B43:I43"/>
    <mergeCell ref="A44:I44"/>
    <mergeCell ref="A45:I45"/>
    <mergeCell ref="B34:I34"/>
    <mergeCell ref="B35:I35"/>
    <mergeCell ref="B36:I36"/>
    <mergeCell ref="B37:I37"/>
    <mergeCell ref="B38:J38"/>
    <mergeCell ref="A39:I39"/>
    <mergeCell ref="B26:E26"/>
    <mergeCell ref="B27:I27"/>
    <mergeCell ref="A28:I28"/>
    <mergeCell ref="A29:I29"/>
    <mergeCell ref="B32:G32"/>
    <mergeCell ref="B33:I33"/>
    <mergeCell ref="B22:I22"/>
    <mergeCell ref="B23:I23"/>
    <mergeCell ref="B24:I24"/>
    <mergeCell ref="B25:C25"/>
    <mergeCell ref="D25:E25"/>
    <mergeCell ref="F25:I25"/>
    <mergeCell ref="A18:I18"/>
    <mergeCell ref="A19:I19"/>
    <mergeCell ref="B20:I20"/>
    <mergeCell ref="B21:I21"/>
    <mergeCell ref="A7:J7"/>
    <mergeCell ref="B8:J8"/>
    <mergeCell ref="B10:J10"/>
    <mergeCell ref="A11:J11"/>
    <mergeCell ref="A12:J12"/>
    <mergeCell ref="A13:I13"/>
    <mergeCell ref="A1:K1"/>
    <mergeCell ref="A2:K2"/>
    <mergeCell ref="A5:H5"/>
    <mergeCell ref="I5:K6"/>
    <mergeCell ref="A6:G6"/>
    <mergeCell ref="A3:J3"/>
    <mergeCell ref="A4:J4"/>
    <mergeCell ref="B14:I14"/>
    <mergeCell ref="B15:I15"/>
  </mergeCells>
  <hyperlinks>
    <hyperlink ref="B111" r:id="rId1"/>
    <hyperlink ref="B114" r:id="rId2"/>
    <hyperlink ref="B115" r:id="rId3"/>
  </hyperlinks>
  <pageMargins left="0.51181102362204722" right="0.11811023622047245" top="1.3779527559055118" bottom="0.59055118110236227" header="0.31496062992125984" footer="0.31496062992125984"/>
  <pageSetup paperSize="9" scale="70" orientation="portrait" r:id="rId4"/>
  <rowBreaks count="1" manualBreakCount="1">
    <brk id="65" max="16" man="1"/>
  </rowBreaks>
  <colBreaks count="1" manualBreakCount="1">
    <brk id="11" max="101" man="1"/>
  </colBreaks>
  <legacy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7"/>
  <sheetViews>
    <sheetView view="pageBreakPreview" zoomScaleSheetLayoutView="100" workbookViewId="0">
      <selection activeCell="C16" sqref="C16"/>
    </sheetView>
  </sheetViews>
  <sheetFormatPr defaultColWidth="9" defaultRowHeight="12.75"/>
  <cols>
    <col min="1" max="1" width="51.7109375" style="342" customWidth="1"/>
    <col min="2" max="2" width="10.140625" style="364" customWidth="1"/>
    <col min="3" max="3" width="13.5703125" style="364" customWidth="1"/>
    <col min="4" max="4" width="12.42578125" style="364" customWidth="1"/>
    <col min="5" max="5" width="11.42578125" style="357" customWidth="1"/>
    <col min="6" max="6" width="10.85546875" style="357" customWidth="1"/>
    <col min="7" max="7" width="14.7109375" style="342" customWidth="1"/>
    <col min="8" max="256" width="9" style="342"/>
    <col min="257" max="257" width="51.7109375" style="342" customWidth="1"/>
    <col min="258" max="258" width="10.140625" style="342" customWidth="1"/>
    <col min="259" max="259" width="13.5703125" style="342" customWidth="1"/>
    <col min="260" max="260" width="12.42578125" style="342" customWidth="1"/>
    <col min="261" max="261" width="11.42578125" style="342" customWidth="1"/>
    <col min="262" max="262" width="10.85546875" style="342" customWidth="1"/>
    <col min="263" max="263" width="14.7109375" style="342" customWidth="1"/>
    <col min="264" max="512" width="9" style="342"/>
    <col min="513" max="513" width="51.7109375" style="342" customWidth="1"/>
    <col min="514" max="514" width="10.140625" style="342" customWidth="1"/>
    <col min="515" max="515" width="13.5703125" style="342" customWidth="1"/>
    <col min="516" max="516" width="12.42578125" style="342" customWidth="1"/>
    <col min="517" max="517" width="11.42578125" style="342" customWidth="1"/>
    <col min="518" max="518" width="10.85546875" style="342" customWidth="1"/>
    <col min="519" max="519" width="14.7109375" style="342" customWidth="1"/>
    <col min="520" max="768" width="9" style="342"/>
    <col min="769" max="769" width="51.7109375" style="342" customWidth="1"/>
    <col min="770" max="770" width="10.140625" style="342" customWidth="1"/>
    <col min="771" max="771" width="13.5703125" style="342" customWidth="1"/>
    <col min="772" max="772" width="12.42578125" style="342" customWidth="1"/>
    <col min="773" max="773" width="11.42578125" style="342" customWidth="1"/>
    <col min="774" max="774" width="10.85546875" style="342" customWidth="1"/>
    <col min="775" max="775" width="14.7109375" style="342" customWidth="1"/>
    <col min="776" max="1024" width="9" style="342"/>
    <col min="1025" max="1025" width="51.7109375" style="342" customWidth="1"/>
    <col min="1026" max="1026" width="10.140625" style="342" customWidth="1"/>
    <col min="1027" max="1027" width="13.5703125" style="342" customWidth="1"/>
    <col min="1028" max="1028" width="12.42578125" style="342" customWidth="1"/>
    <col min="1029" max="1029" width="11.42578125" style="342" customWidth="1"/>
    <col min="1030" max="1030" width="10.85546875" style="342" customWidth="1"/>
    <col min="1031" max="1031" width="14.7109375" style="342" customWidth="1"/>
    <col min="1032" max="1280" width="9" style="342"/>
    <col min="1281" max="1281" width="51.7109375" style="342" customWidth="1"/>
    <col min="1282" max="1282" width="10.140625" style="342" customWidth="1"/>
    <col min="1283" max="1283" width="13.5703125" style="342" customWidth="1"/>
    <col min="1284" max="1284" width="12.42578125" style="342" customWidth="1"/>
    <col min="1285" max="1285" width="11.42578125" style="342" customWidth="1"/>
    <col min="1286" max="1286" width="10.85546875" style="342" customWidth="1"/>
    <col min="1287" max="1287" width="14.7109375" style="342" customWidth="1"/>
    <col min="1288" max="1536" width="9" style="342"/>
    <col min="1537" max="1537" width="51.7109375" style="342" customWidth="1"/>
    <col min="1538" max="1538" width="10.140625" style="342" customWidth="1"/>
    <col min="1539" max="1539" width="13.5703125" style="342" customWidth="1"/>
    <col min="1540" max="1540" width="12.42578125" style="342" customWidth="1"/>
    <col min="1541" max="1541" width="11.42578125" style="342" customWidth="1"/>
    <col min="1542" max="1542" width="10.85546875" style="342" customWidth="1"/>
    <col min="1543" max="1543" width="14.7109375" style="342" customWidth="1"/>
    <col min="1544" max="1792" width="9" style="342"/>
    <col min="1793" max="1793" width="51.7109375" style="342" customWidth="1"/>
    <col min="1794" max="1794" width="10.140625" style="342" customWidth="1"/>
    <col min="1795" max="1795" width="13.5703125" style="342" customWidth="1"/>
    <col min="1796" max="1796" width="12.42578125" style="342" customWidth="1"/>
    <col min="1797" max="1797" width="11.42578125" style="342" customWidth="1"/>
    <col min="1798" max="1798" width="10.85546875" style="342" customWidth="1"/>
    <col min="1799" max="1799" width="14.7109375" style="342" customWidth="1"/>
    <col min="1800" max="2048" width="9" style="342"/>
    <col min="2049" max="2049" width="51.7109375" style="342" customWidth="1"/>
    <col min="2050" max="2050" width="10.140625" style="342" customWidth="1"/>
    <col min="2051" max="2051" width="13.5703125" style="342" customWidth="1"/>
    <col min="2052" max="2052" width="12.42578125" style="342" customWidth="1"/>
    <col min="2053" max="2053" width="11.42578125" style="342" customWidth="1"/>
    <col min="2054" max="2054" width="10.85546875" style="342" customWidth="1"/>
    <col min="2055" max="2055" width="14.7109375" style="342" customWidth="1"/>
    <col min="2056" max="2304" width="9" style="342"/>
    <col min="2305" max="2305" width="51.7109375" style="342" customWidth="1"/>
    <col min="2306" max="2306" width="10.140625" style="342" customWidth="1"/>
    <col min="2307" max="2307" width="13.5703125" style="342" customWidth="1"/>
    <col min="2308" max="2308" width="12.42578125" style="342" customWidth="1"/>
    <col min="2309" max="2309" width="11.42578125" style="342" customWidth="1"/>
    <col min="2310" max="2310" width="10.85546875" style="342" customWidth="1"/>
    <col min="2311" max="2311" width="14.7109375" style="342" customWidth="1"/>
    <col min="2312" max="2560" width="9" style="342"/>
    <col min="2561" max="2561" width="51.7109375" style="342" customWidth="1"/>
    <col min="2562" max="2562" width="10.140625" style="342" customWidth="1"/>
    <col min="2563" max="2563" width="13.5703125" style="342" customWidth="1"/>
    <col min="2564" max="2564" width="12.42578125" style="342" customWidth="1"/>
    <col min="2565" max="2565" width="11.42578125" style="342" customWidth="1"/>
    <col min="2566" max="2566" width="10.85546875" style="342" customWidth="1"/>
    <col min="2567" max="2567" width="14.7109375" style="342" customWidth="1"/>
    <col min="2568" max="2816" width="9" style="342"/>
    <col min="2817" max="2817" width="51.7109375" style="342" customWidth="1"/>
    <col min="2818" max="2818" width="10.140625" style="342" customWidth="1"/>
    <col min="2819" max="2819" width="13.5703125" style="342" customWidth="1"/>
    <col min="2820" max="2820" width="12.42578125" style="342" customWidth="1"/>
    <col min="2821" max="2821" width="11.42578125" style="342" customWidth="1"/>
    <col min="2822" max="2822" width="10.85546875" style="342" customWidth="1"/>
    <col min="2823" max="2823" width="14.7109375" style="342" customWidth="1"/>
    <col min="2824" max="3072" width="9" style="342"/>
    <col min="3073" max="3073" width="51.7109375" style="342" customWidth="1"/>
    <col min="3074" max="3074" width="10.140625" style="342" customWidth="1"/>
    <col min="3075" max="3075" width="13.5703125" style="342" customWidth="1"/>
    <col min="3076" max="3076" width="12.42578125" style="342" customWidth="1"/>
    <col min="3077" max="3077" width="11.42578125" style="342" customWidth="1"/>
    <col min="3078" max="3078" width="10.85546875" style="342" customWidth="1"/>
    <col min="3079" max="3079" width="14.7109375" style="342" customWidth="1"/>
    <col min="3080" max="3328" width="9" style="342"/>
    <col min="3329" max="3329" width="51.7109375" style="342" customWidth="1"/>
    <col min="3330" max="3330" width="10.140625" style="342" customWidth="1"/>
    <col min="3331" max="3331" width="13.5703125" style="342" customWidth="1"/>
    <col min="3332" max="3332" width="12.42578125" style="342" customWidth="1"/>
    <col min="3333" max="3333" width="11.42578125" style="342" customWidth="1"/>
    <col min="3334" max="3334" width="10.85546875" style="342" customWidth="1"/>
    <col min="3335" max="3335" width="14.7109375" style="342" customWidth="1"/>
    <col min="3336" max="3584" width="9" style="342"/>
    <col min="3585" max="3585" width="51.7109375" style="342" customWidth="1"/>
    <col min="3586" max="3586" width="10.140625" style="342" customWidth="1"/>
    <col min="3587" max="3587" width="13.5703125" style="342" customWidth="1"/>
    <col min="3588" max="3588" width="12.42578125" style="342" customWidth="1"/>
    <col min="3589" max="3589" width="11.42578125" style="342" customWidth="1"/>
    <col min="3590" max="3590" width="10.85546875" style="342" customWidth="1"/>
    <col min="3591" max="3591" width="14.7109375" style="342" customWidth="1"/>
    <col min="3592" max="3840" width="9" style="342"/>
    <col min="3841" max="3841" width="51.7109375" style="342" customWidth="1"/>
    <col min="3842" max="3842" width="10.140625" style="342" customWidth="1"/>
    <col min="3843" max="3843" width="13.5703125" style="342" customWidth="1"/>
    <col min="3844" max="3844" width="12.42578125" style="342" customWidth="1"/>
    <col min="3845" max="3845" width="11.42578125" style="342" customWidth="1"/>
    <col min="3846" max="3846" width="10.85546875" style="342" customWidth="1"/>
    <col min="3847" max="3847" width="14.7109375" style="342" customWidth="1"/>
    <col min="3848" max="4096" width="9" style="342"/>
    <col min="4097" max="4097" width="51.7109375" style="342" customWidth="1"/>
    <col min="4098" max="4098" width="10.140625" style="342" customWidth="1"/>
    <col min="4099" max="4099" width="13.5703125" style="342" customWidth="1"/>
    <col min="4100" max="4100" width="12.42578125" style="342" customWidth="1"/>
    <col min="4101" max="4101" width="11.42578125" style="342" customWidth="1"/>
    <col min="4102" max="4102" width="10.85546875" style="342" customWidth="1"/>
    <col min="4103" max="4103" width="14.7109375" style="342" customWidth="1"/>
    <col min="4104" max="4352" width="9" style="342"/>
    <col min="4353" max="4353" width="51.7109375" style="342" customWidth="1"/>
    <col min="4354" max="4354" width="10.140625" style="342" customWidth="1"/>
    <col min="4355" max="4355" width="13.5703125" style="342" customWidth="1"/>
    <col min="4356" max="4356" width="12.42578125" style="342" customWidth="1"/>
    <col min="4357" max="4357" width="11.42578125" style="342" customWidth="1"/>
    <col min="4358" max="4358" width="10.85546875" style="342" customWidth="1"/>
    <col min="4359" max="4359" width="14.7109375" style="342" customWidth="1"/>
    <col min="4360" max="4608" width="9" style="342"/>
    <col min="4609" max="4609" width="51.7109375" style="342" customWidth="1"/>
    <col min="4610" max="4610" width="10.140625" style="342" customWidth="1"/>
    <col min="4611" max="4611" width="13.5703125" style="342" customWidth="1"/>
    <col min="4612" max="4612" width="12.42578125" style="342" customWidth="1"/>
    <col min="4613" max="4613" width="11.42578125" style="342" customWidth="1"/>
    <col min="4614" max="4614" width="10.85546875" style="342" customWidth="1"/>
    <col min="4615" max="4615" width="14.7109375" style="342" customWidth="1"/>
    <col min="4616" max="4864" width="9" style="342"/>
    <col min="4865" max="4865" width="51.7109375" style="342" customWidth="1"/>
    <col min="4866" max="4866" width="10.140625" style="342" customWidth="1"/>
    <col min="4867" max="4867" width="13.5703125" style="342" customWidth="1"/>
    <col min="4868" max="4868" width="12.42578125" style="342" customWidth="1"/>
    <col min="4869" max="4869" width="11.42578125" style="342" customWidth="1"/>
    <col min="4870" max="4870" width="10.85546875" style="342" customWidth="1"/>
    <col min="4871" max="4871" width="14.7109375" style="342" customWidth="1"/>
    <col min="4872" max="5120" width="9" style="342"/>
    <col min="5121" max="5121" width="51.7109375" style="342" customWidth="1"/>
    <col min="5122" max="5122" width="10.140625" style="342" customWidth="1"/>
    <col min="5123" max="5123" width="13.5703125" style="342" customWidth="1"/>
    <col min="5124" max="5124" width="12.42578125" style="342" customWidth="1"/>
    <col min="5125" max="5125" width="11.42578125" style="342" customWidth="1"/>
    <col min="5126" max="5126" width="10.85546875" style="342" customWidth="1"/>
    <col min="5127" max="5127" width="14.7109375" style="342" customWidth="1"/>
    <col min="5128" max="5376" width="9" style="342"/>
    <col min="5377" max="5377" width="51.7109375" style="342" customWidth="1"/>
    <col min="5378" max="5378" width="10.140625" style="342" customWidth="1"/>
    <col min="5379" max="5379" width="13.5703125" style="342" customWidth="1"/>
    <col min="5380" max="5380" width="12.42578125" style="342" customWidth="1"/>
    <col min="5381" max="5381" width="11.42578125" style="342" customWidth="1"/>
    <col min="5382" max="5382" width="10.85546875" style="342" customWidth="1"/>
    <col min="5383" max="5383" width="14.7109375" style="342" customWidth="1"/>
    <col min="5384" max="5632" width="9" style="342"/>
    <col min="5633" max="5633" width="51.7109375" style="342" customWidth="1"/>
    <col min="5634" max="5634" width="10.140625" style="342" customWidth="1"/>
    <col min="5635" max="5635" width="13.5703125" style="342" customWidth="1"/>
    <col min="5636" max="5636" width="12.42578125" style="342" customWidth="1"/>
    <col min="5637" max="5637" width="11.42578125" style="342" customWidth="1"/>
    <col min="5638" max="5638" width="10.85546875" style="342" customWidth="1"/>
    <col min="5639" max="5639" width="14.7109375" style="342" customWidth="1"/>
    <col min="5640" max="5888" width="9" style="342"/>
    <col min="5889" max="5889" width="51.7109375" style="342" customWidth="1"/>
    <col min="5890" max="5890" width="10.140625" style="342" customWidth="1"/>
    <col min="5891" max="5891" width="13.5703125" style="342" customWidth="1"/>
    <col min="5892" max="5892" width="12.42578125" style="342" customWidth="1"/>
    <col min="5893" max="5893" width="11.42578125" style="342" customWidth="1"/>
    <col min="5894" max="5894" width="10.85546875" style="342" customWidth="1"/>
    <col min="5895" max="5895" width="14.7109375" style="342" customWidth="1"/>
    <col min="5896" max="6144" width="9" style="342"/>
    <col min="6145" max="6145" width="51.7109375" style="342" customWidth="1"/>
    <col min="6146" max="6146" width="10.140625" style="342" customWidth="1"/>
    <col min="6147" max="6147" width="13.5703125" style="342" customWidth="1"/>
    <col min="6148" max="6148" width="12.42578125" style="342" customWidth="1"/>
    <col min="6149" max="6149" width="11.42578125" style="342" customWidth="1"/>
    <col min="6150" max="6150" width="10.85546875" style="342" customWidth="1"/>
    <col min="6151" max="6151" width="14.7109375" style="342" customWidth="1"/>
    <col min="6152" max="6400" width="9" style="342"/>
    <col min="6401" max="6401" width="51.7109375" style="342" customWidth="1"/>
    <col min="6402" max="6402" width="10.140625" style="342" customWidth="1"/>
    <col min="6403" max="6403" width="13.5703125" style="342" customWidth="1"/>
    <col min="6404" max="6404" width="12.42578125" style="342" customWidth="1"/>
    <col min="6405" max="6405" width="11.42578125" style="342" customWidth="1"/>
    <col min="6406" max="6406" width="10.85546875" style="342" customWidth="1"/>
    <col min="6407" max="6407" width="14.7109375" style="342" customWidth="1"/>
    <col min="6408" max="6656" width="9" style="342"/>
    <col min="6657" max="6657" width="51.7109375" style="342" customWidth="1"/>
    <col min="6658" max="6658" width="10.140625" style="342" customWidth="1"/>
    <col min="6659" max="6659" width="13.5703125" style="342" customWidth="1"/>
    <col min="6660" max="6660" width="12.42578125" style="342" customWidth="1"/>
    <col min="6661" max="6661" width="11.42578125" style="342" customWidth="1"/>
    <col min="6662" max="6662" width="10.85546875" style="342" customWidth="1"/>
    <col min="6663" max="6663" width="14.7109375" style="342" customWidth="1"/>
    <col min="6664" max="6912" width="9" style="342"/>
    <col min="6913" max="6913" width="51.7109375" style="342" customWidth="1"/>
    <col min="6914" max="6914" width="10.140625" style="342" customWidth="1"/>
    <col min="6915" max="6915" width="13.5703125" style="342" customWidth="1"/>
    <col min="6916" max="6916" width="12.42578125" style="342" customWidth="1"/>
    <col min="6917" max="6917" width="11.42578125" style="342" customWidth="1"/>
    <col min="6918" max="6918" width="10.85546875" style="342" customWidth="1"/>
    <col min="6919" max="6919" width="14.7109375" style="342" customWidth="1"/>
    <col min="6920" max="7168" width="9" style="342"/>
    <col min="7169" max="7169" width="51.7109375" style="342" customWidth="1"/>
    <col min="7170" max="7170" width="10.140625" style="342" customWidth="1"/>
    <col min="7171" max="7171" width="13.5703125" style="342" customWidth="1"/>
    <col min="7172" max="7172" width="12.42578125" style="342" customWidth="1"/>
    <col min="7173" max="7173" width="11.42578125" style="342" customWidth="1"/>
    <col min="7174" max="7174" width="10.85546875" style="342" customWidth="1"/>
    <col min="7175" max="7175" width="14.7109375" style="342" customWidth="1"/>
    <col min="7176" max="7424" width="9" style="342"/>
    <col min="7425" max="7425" width="51.7109375" style="342" customWidth="1"/>
    <col min="7426" max="7426" width="10.140625" style="342" customWidth="1"/>
    <col min="7427" max="7427" width="13.5703125" style="342" customWidth="1"/>
    <col min="7428" max="7428" width="12.42578125" style="342" customWidth="1"/>
    <col min="7429" max="7429" width="11.42578125" style="342" customWidth="1"/>
    <col min="7430" max="7430" width="10.85546875" style="342" customWidth="1"/>
    <col min="7431" max="7431" width="14.7109375" style="342" customWidth="1"/>
    <col min="7432" max="7680" width="9" style="342"/>
    <col min="7681" max="7681" width="51.7109375" style="342" customWidth="1"/>
    <col min="7682" max="7682" width="10.140625" style="342" customWidth="1"/>
    <col min="7683" max="7683" width="13.5703125" style="342" customWidth="1"/>
    <col min="7684" max="7684" width="12.42578125" style="342" customWidth="1"/>
    <col min="7685" max="7685" width="11.42578125" style="342" customWidth="1"/>
    <col min="7686" max="7686" width="10.85546875" style="342" customWidth="1"/>
    <col min="7687" max="7687" width="14.7109375" style="342" customWidth="1"/>
    <col min="7688" max="7936" width="9" style="342"/>
    <col min="7937" max="7937" width="51.7109375" style="342" customWidth="1"/>
    <col min="7938" max="7938" width="10.140625" style="342" customWidth="1"/>
    <col min="7939" max="7939" width="13.5703125" style="342" customWidth="1"/>
    <col min="7940" max="7940" width="12.42578125" style="342" customWidth="1"/>
    <col min="7941" max="7941" width="11.42578125" style="342" customWidth="1"/>
    <col min="7942" max="7942" width="10.85546875" style="342" customWidth="1"/>
    <col min="7943" max="7943" width="14.7109375" style="342" customWidth="1"/>
    <col min="7944" max="8192" width="9" style="342"/>
    <col min="8193" max="8193" width="51.7109375" style="342" customWidth="1"/>
    <col min="8194" max="8194" width="10.140625" style="342" customWidth="1"/>
    <col min="8195" max="8195" width="13.5703125" style="342" customWidth="1"/>
    <col min="8196" max="8196" width="12.42578125" style="342" customWidth="1"/>
    <col min="8197" max="8197" width="11.42578125" style="342" customWidth="1"/>
    <col min="8198" max="8198" width="10.85546875" style="342" customWidth="1"/>
    <col min="8199" max="8199" width="14.7109375" style="342" customWidth="1"/>
    <col min="8200" max="8448" width="9" style="342"/>
    <col min="8449" max="8449" width="51.7109375" style="342" customWidth="1"/>
    <col min="8450" max="8450" width="10.140625" style="342" customWidth="1"/>
    <col min="8451" max="8451" width="13.5703125" style="342" customWidth="1"/>
    <col min="8452" max="8452" width="12.42578125" style="342" customWidth="1"/>
    <col min="8453" max="8453" width="11.42578125" style="342" customWidth="1"/>
    <col min="8454" max="8454" width="10.85546875" style="342" customWidth="1"/>
    <col min="8455" max="8455" width="14.7109375" style="342" customWidth="1"/>
    <col min="8456" max="8704" width="9" style="342"/>
    <col min="8705" max="8705" width="51.7109375" style="342" customWidth="1"/>
    <col min="8706" max="8706" width="10.140625" style="342" customWidth="1"/>
    <col min="8707" max="8707" width="13.5703125" style="342" customWidth="1"/>
    <col min="8708" max="8708" width="12.42578125" style="342" customWidth="1"/>
    <col min="8709" max="8709" width="11.42578125" style="342" customWidth="1"/>
    <col min="8710" max="8710" width="10.85546875" style="342" customWidth="1"/>
    <col min="8711" max="8711" width="14.7109375" style="342" customWidth="1"/>
    <col min="8712" max="8960" width="9" style="342"/>
    <col min="8961" max="8961" width="51.7109375" style="342" customWidth="1"/>
    <col min="8962" max="8962" width="10.140625" style="342" customWidth="1"/>
    <col min="8963" max="8963" width="13.5703125" style="342" customWidth="1"/>
    <col min="8964" max="8964" width="12.42578125" style="342" customWidth="1"/>
    <col min="8965" max="8965" width="11.42578125" style="342" customWidth="1"/>
    <col min="8966" max="8966" width="10.85546875" style="342" customWidth="1"/>
    <col min="8967" max="8967" width="14.7109375" style="342" customWidth="1"/>
    <col min="8968" max="9216" width="9" style="342"/>
    <col min="9217" max="9217" width="51.7109375" style="342" customWidth="1"/>
    <col min="9218" max="9218" width="10.140625" style="342" customWidth="1"/>
    <col min="9219" max="9219" width="13.5703125" style="342" customWidth="1"/>
    <col min="9220" max="9220" width="12.42578125" style="342" customWidth="1"/>
    <col min="9221" max="9221" width="11.42578125" style="342" customWidth="1"/>
    <col min="9222" max="9222" width="10.85546875" style="342" customWidth="1"/>
    <col min="9223" max="9223" width="14.7109375" style="342" customWidth="1"/>
    <col min="9224" max="9472" width="9" style="342"/>
    <col min="9473" max="9473" width="51.7109375" style="342" customWidth="1"/>
    <col min="9474" max="9474" width="10.140625" style="342" customWidth="1"/>
    <col min="9475" max="9475" width="13.5703125" style="342" customWidth="1"/>
    <col min="9476" max="9476" width="12.42578125" style="342" customWidth="1"/>
    <col min="9477" max="9477" width="11.42578125" style="342" customWidth="1"/>
    <col min="9478" max="9478" width="10.85546875" style="342" customWidth="1"/>
    <col min="9479" max="9479" width="14.7109375" style="342" customWidth="1"/>
    <col min="9480" max="9728" width="9" style="342"/>
    <col min="9729" max="9729" width="51.7109375" style="342" customWidth="1"/>
    <col min="9730" max="9730" width="10.140625" style="342" customWidth="1"/>
    <col min="9731" max="9731" width="13.5703125" style="342" customWidth="1"/>
    <col min="9732" max="9732" width="12.42578125" style="342" customWidth="1"/>
    <col min="9733" max="9733" width="11.42578125" style="342" customWidth="1"/>
    <col min="9734" max="9734" width="10.85546875" style="342" customWidth="1"/>
    <col min="9735" max="9735" width="14.7109375" style="342" customWidth="1"/>
    <col min="9736" max="9984" width="9" style="342"/>
    <col min="9985" max="9985" width="51.7109375" style="342" customWidth="1"/>
    <col min="9986" max="9986" width="10.140625" style="342" customWidth="1"/>
    <col min="9987" max="9987" width="13.5703125" style="342" customWidth="1"/>
    <col min="9988" max="9988" width="12.42578125" style="342" customWidth="1"/>
    <col min="9989" max="9989" width="11.42578125" style="342" customWidth="1"/>
    <col min="9990" max="9990" width="10.85546875" style="342" customWidth="1"/>
    <col min="9991" max="9991" width="14.7109375" style="342" customWidth="1"/>
    <col min="9992" max="10240" width="9" style="342"/>
    <col min="10241" max="10241" width="51.7109375" style="342" customWidth="1"/>
    <col min="10242" max="10242" width="10.140625" style="342" customWidth="1"/>
    <col min="10243" max="10243" width="13.5703125" style="342" customWidth="1"/>
    <col min="10244" max="10244" width="12.42578125" style="342" customWidth="1"/>
    <col min="10245" max="10245" width="11.42578125" style="342" customWidth="1"/>
    <col min="10246" max="10246" width="10.85546875" style="342" customWidth="1"/>
    <col min="10247" max="10247" width="14.7109375" style="342" customWidth="1"/>
    <col min="10248" max="10496" width="9" style="342"/>
    <col min="10497" max="10497" width="51.7109375" style="342" customWidth="1"/>
    <col min="10498" max="10498" width="10.140625" style="342" customWidth="1"/>
    <col min="10499" max="10499" width="13.5703125" style="342" customWidth="1"/>
    <col min="10500" max="10500" width="12.42578125" style="342" customWidth="1"/>
    <col min="10501" max="10501" width="11.42578125" style="342" customWidth="1"/>
    <col min="10502" max="10502" width="10.85546875" style="342" customWidth="1"/>
    <col min="10503" max="10503" width="14.7109375" style="342" customWidth="1"/>
    <col min="10504" max="10752" width="9" style="342"/>
    <col min="10753" max="10753" width="51.7109375" style="342" customWidth="1"/>
    <col min="10754" max="10754" width="10.140625" style="342" customWidth="1"/>
    <col min="10755" max="10755" width="13.5703125" style="342" customWidth="1"/>
    <col min="10756" max="10756" width="12.42578125" style="342" customWidth="1"/>
    <col min="10757" max="10757" width="11.42578125" style="342" customWidth="1"/>
    <col min="10758" max="10758" width="10.85546875" style="342" customWidth="1"/>
    <col min="10759" max="10759" width="14.7109375" style="342" customWidth="1"/>
    <col min="10760" max="11008" width="9" style="342"/>
    <col min="11009" max="11009" width="51.7109375" style="342" customWidth="1"/>
    <col min="11010" max="11010" width="10.140625" style="342" customWidth="1"/>
    <col min="11011" max="11011" width="13.5703125" style="342" customWidth="1"/>
    <col min="11012" max="11012" width="12.42578125" style="342" customWidth="1"/>
    <col min="11013" max="11013" width="11.42578125" style="342" customWidth="1"/>
    <col min="11014" max="11014" width="10.85546875" style="342" customWidth="1"/>
    <col min="11015" max="11015" width="14.7109375" style="342" customWidth="1"/>
    <col min="11016" max="11264" width="9" style="342"/>
    <col min="11265" max="11265" width="51.7109375" style="342" customWidth="1"/>
    <col min="11266" max="11266" width="10.140625" style="342" customWidth="1"/>
    <col min="11267" max="11267" width="13.5703125" style="342" customWidth="1"/>
    <col min="11268" max="11268" width="12.42578125" style="342" customWidth="1"/>
    <col min="11269" max="11269" width="11.42578125" style="342" customWidth="1"/>
    <col min="11270" max="11270" width="10.85546875" style="342" customWidth="1"/>
    <col min="11271" max="11271" width="14.7109375" style="342" customWidth="1"/>
    <col min="11272" max="11520" width="9" style="342"/>
    <col min="11521" max="11521" width="51.7109375" style="342" customWidth="1"/>
    <col min="11522" max="11522" width="10.140625" style="342" customWidth="1"/>
    <col min="11523" max="11523" width="13.5703125" style="342" customWidth="1"/>
    <col min="11524" max="11524" width="12.42578125" style="342" customWidth="1"/>
    <col min="11525" max="11525" width="11.42578125" style="342" customWidth="1"/>
    <col min="11526" max="11526" width="10.85546875" style="342" customWidth="1"/>
    <col min="11527" max="11527" width="14.7109375" style="342" customWidth="1"/>
    <col min="11528" max="11776" width="9" style="342"/>
    <col min="11777" max="11777" width="51.7109375" style="342" customWidth="1"/>
    <col min="11778" max="11778" width="10.140625" style="342" customWidth="1"/>
    <col min="11779" max="11779" width="13.5703125" style="342" customWidth="1"/>
    <col min="11780" max="11780" width="12.42578125" style="342" customWidth="1"/>
    <col min="11781" max="11781" width="11.42578125" style="342" customWidth="1"/>
    <col min="11782" max="11782" width="10.85546875" style="342" customWidth="1"/>
    <col min="11783" max="11783" width="14.7109375" style="342" customWidth="1"/>
    <col min="11784" max="12032" width="9" style="342"/>
    <col min="12033" max="12033" width="51.7109375" style="342" customWidth="1"/>
    <col min="12034" max="12034" width="10.140625" style="342" customWidth="1"/>
    <col min="12035" max="12035" width="13.5703125" style="342" customWidth="1"/>
    <col min="12036" max="12036" width="12.42578125" style="342" customWidth="1"/>
    <col min="12037" max="12037" width="11.42578125" style="342" customWidth="1"/>
    <col min="12038" max="12038" width="10.85546875" style="342" customWidth="1"/>
    <col min="12039" max="12039" width="14.7109375" style="342" customWidth="1"/>
    <col min="12040" max="12288" width="9" style="342"/>
    <col min="12289" max="12289" width="51.7109375" style="342" customWidth="1"/>
    <col min="12290" max="12290" width="10.140625" style="342" customWidth="1"/>
    <col min="12291" max="12291" width="13.5703125" style="342" customWidth="1"/>
    <col min="12292" max="12292" width="12.42578125" style="342" customWidth="1"/>
    <col min="12293" max="12293" width="11.42578125" style="342" customWidth="1"/>
    <col min="12294" max="12294" width="10.85546875" style="342" customWidth="1"/>
    <col min="12295" max="12295" width="14.7109375" style="342" customWidth="1"/>
    <col min="12296" max="12544" width="9" style="342"/>
    <col min="12545" max="12545" width="51.7109375" style="342" customWidth="1"/>
    <col min="12546" max="12546" width="10.140625" style="342" customWidth="1"/>
    <col min="12547" max="12547" width="13.5703125" style="342" customWidth="1"/>
    <col min="12548" max="12548" width="12.42578125" style="342" customWidth="1"/>
    <col min="12549" max="12549" width="11.42578125" style="342" customWidth="1"/>
    <col min="12550" max="12550" width="10.85546875" style="342" customWidth="1"/>
    <col min="12551" max="12551" width="14.7109375" style="342" customWidth="1"/>
    <col min="12552" max="12800" width="9" style="342"/>
    <col min="12801" max="12801" width="51.7109375" style="342" customWidth="1"/>
    <col min="12802" max="12802" width="10.140625" style="342" customWidth="1"/>
    <col min="12803" max="12803" width="13.5703125" style="342" customWidth="1"/>
    <col min="12804" max="12804" width="12.42578125" style="342" customWidth="1"/>
    <col min="12805" max="12805" width="11.42578125" style="342" customWidth="1"/>
    <col min="12806" max="12806" width="10.85546875" style="342" customWidth="1"/>
    <col min="12807" max="12807" width="14.7109375" style="342" customWidth="1"/>
    <col min="12808" max="13056" width="9" style="342"/>
    <col min="13057" max="13057" width="51.7109375" style="342" customWidth="1"/>
    <col min="13058" max="13058" width="10.140625" style="342" customWidth="1"/>
    <col min="13059" max="13059" width="13.5703125" style="342" customWidth="1"/>
    <col min="13060" max="13060" width="12.42578125" style="342" customWidth="1"/>
    <col min="13061" max="13061" width="11.42578125" style="342" customWidth="1"/>
    <col min="13062" max="13062" width="10.85546875" style="342" customWidth="1"/>
    <col min="13063" max="13063" width="14.7109375" style="342" customWidth="1"/>
    <col min="13064" max="13312" width="9" style="342"/>
    <col min="13313" max="13313" width="51.7109375" style="342" customWidth="1"/>
    <col min="13314" max="13314" width="10.140625" style="342" customWidth="1"/>
    <col min="13315" max="13315" width="13.5703125" style="342" customWidth="1"/>
    <col min="13316" max="13316" width="12.42578125" style="342" customWidth="1"/>
    <col min="13317" max="13317" width="11.42578125" style="342" customWidth="1"/>
    <col min="13318" max="13318" width="10.85546875" style="342" customWidth="1"/>
    <col min="13319" max="13319" width="14.7109375" style="342" customWidth="1"/>
    <col min="13320" max="13568" width="9" style="342"/>
    <col min="13569" max="13569" width="51.7109375" style="342" customWidth="1"/>
    <col min="13570" max="13570" width="10.140625" style="342" customWidth="1"/>
    <col min="13571" max="13571" width="13.5703125" style="342" customWidth="1"/>
    <col min="13572" max="13572" width="12.42578125" style="342" customWidth="1"/>
    <col min="13573" max="13573" width="11.42578125" style="342" customWidth="1"/>
    <col min="13574" max="13574" width="10.85546875" style="342" customWidth="1"/>
    <col min="13575" max="13575" width="14.7109375" style="342" customWidth="1"/>
    <col min="13576" max="13824" width="9" style="342"/>
    <col min="13825" max="13825" width="51.7109375" style="342" customWidth="1"/>
    <col min="13826" max="13826" width="10.140625" style="342" customWidth="1"/>
    <col min="13827" max="13827" width="13.5703125" style="342" customWidth="1"/>
    <col min="13828" max="13828" width="12.42578125" style="342" customWidth="1"/>
    <col min="13829" max="13829" width="11.42578125" style="342" customWidth="1"/>
    <col min="13830" max="13830" width="10.85546875" style="342" customWidth="1"/>
    <col min="13831" max="13831" width="14.7109375" style="342" customWidth="1"/>
    <col min="13832" max="14080" width="9" style="342"/>
    <col min="14081" max="14081" width="51.7109375" style="342" customWidth="1"/>
    <col min="14082" max="14082" width="10.140625" style="342" customWidth="1"/>
    <col min="14083" max="14083" width="13.5703125" style="342" customWidth="1"/>
    <col min="14084" max="14084" width="12.42578125" style="342" customWidth="1"/>
    <col min="14085" max="14085" width="11.42578125" style="342" customWidth="1"/>
    <col min="14086" max="14086" width="10.85546875" style="342" customWidth="1"/>
    <col min="14087" max="14087" width="14.7109375" style="342" customWidth="1"/>
    <col min="14088" max="14336" width="9" style="342"/>
    <col min="14337" max="14337" width="51.7109375" style="342" customWidth="1"/>
    <col min="14338" max="14338" width="10.140625" style="342" customWidth="1"/>
    <col min="14339" max="14339" width="13.5703125" style="342" customWidth="1"/>
    <col min="14340" max="14340" width="12.42578125" style="342" customWidth="1"/>
    <col min="14341" max="14341" width="11.42578125" style="342" customWidth="1"/>
    <col min="14342" max="14342" width="10.85546875" style="342" customWidth="1"/>
    <col min="14343" max="14343" width="14.7109375" style="342" customWidth="1"/>
    <col min="14344" max="14592" width="9" style="342"/>
    <col min="14593" max="14593" width="51.7109375" style="342" customWidth="1"/>
    <col min="14594" max="14594" width="10.140625" style="342" customWidth="1"/>
    <col min="14595" max="14595" width="13.5703125" style="342" customWidth="1"/>
    <col min="14596" max="14596" width="12.42578125" style="342" customWidth="1"/>
    <col min="14597" max="14597" width="11.42578125" style="342" customWidth="1"/>
    <col min="14598" max="14598" width="10.85546875" style="342" customWidth="1"/>
    <col min="14599" max="14599" width="14.7109375" style="342" customWidth="1"/>
    <col min="14600" max="14848" width="9" style="342"/>
    <col min="14849" max="14849" width="51.7109375" style="342" customWidth="1"/>
    <col min="14850" max="14850" width="10.140625" style="342" customWidth="1"/>
    <col min="14851" max="14851" width="13.5703125" style="342" customWidth="1"/>
    <col min="14852" max="14852" width="12.42578125" style="342" customWidth="1"/>
    <col min="14853" max="14853" width="11.42578125" style="342" customWidth="1"/>
    <col min="14854" max="14854" width="10.85546875" style="342" customWidth="1"/>
    <col min="14855" max="14855" width="14.7109375" style="342" customWidth="1"/>
    <col min="14856" max="15104" width="9" style="342"/>
    <col min="15105" max="15105" width="51.7109375" style="342" customWidth="1"/>
    <col min="15106" max="15106" width="10.140625" style="342" customWidth="1"/>
    <col min="15107" max="15107" width="13.5703125" style="342" customWidth="1"/>
    <col min="15108" max="15108" width="12.42578125" style="342" customWidth="1"/>
    <col min="15109" max="15109" width="11.42578125" style="342" customWidth="1"/>
    <col min="15110" max="15110" width="10.85546875" style="342" customWidth="1"/>
    <col min="15111" max="15111" width="14.7109375" style="342" customWidth="1"/>
    <col min="15112" max="15360" width="9" style="342"/>
    <col min="15361" max="15361" width="51.7109375" style="342" customWidth="1"/>
    <col min="15362" max="15362" width="10.140625" style="342" customWidth="1"/>
    <col min="15363" max="15363" width="13.5703125" style="342" customWidth="1"/>
    <col min="15364" max="15364" width="12.42578125" style="342" customWidth="1"/>
    <col min="15365" max="15365" width="11.42578125" style="342" customWidth="1"/>
    <col min="15366" max="15366" width="10.85546875" style="342" customWidth="1"/>
    <col min="15367" max="15367" width="14.7109375" style="342" customWidth="1"/>
    <col min="15368" max="15616" width="9" style="342"/>
    <col min="15617" max="15617" width="51.7109375" style="342" customWidth="1"/>
    <col min="15618" max="15618" width="10.140625" style="342" customWidth="1"/>
    <col min="15619" max="15619" width="13.5703125" style="342" customWidth="1"/>
    <col min="15620" max="15620" width="12.42578125" style="342" customWidth="1"/>
    <col min="15621" max="15621" width="11.42578125" style="342" customWidth="1"/>
    <col min="15622" max="15622" width="10.85546875" style="342" customWidth="1"/>
    <col min="15623" max="15623" width="14.7109375" style="342" customWidth="1"/>
    <col min="15624" max="15872" width="9" style="342"/>
    <col min="15873" max="15873" width="51.7109375" style="342" customWidth="1"/>
    <col min="15874" max="15874" width="10.140625" style="342" customWidth="1"/>
    <col min="15875" max="15875" width="13.5703125" style="342" customWidth="1"/>
    <col min="15876" max="15876" width="12.42578125" style="342" customWidth="1"/>
    <col min="15877" max="15877" width="11.42578125" style="342" customWidth="1"/>
    <col min="15878" max="15878" width="10.85546875" style="342" customWidth="1"/>
    <col min="15879" max="15879" width="14.7109375" style="342" customWidth="1"/>
    <col min="15880" max="16128" width="9" style="342"/>
    <col min="16129" max="16129" width="51.7109375" style="342" customWidth="1"/>
    <col min="16130" max="16130" width="10.140625" style="342" customWidth="1"/>
    <col min="16131" max="16131" width="13.5703125" style="342" customWidth="1"/>
    <col min="16132" max="16132" width="12.42578125" style="342" customWidth="1"/>
    <col min="16133" max="16133" width="11.42578125" style="342" customWidth="1"/>
    <col min="16134" max="16134" width="10.85546875" style="342" customWidth="1"/>
    <col min="16135" max="16135" width="14.7109375" style="342" customWidth="1"/>
    <col min="16136" max="16384" width="9" style="342"/>
  </cols>
  <sheetData>
    <row r="1" spans="1:7" ht="25.5">
      <c r="A1" s="340" t="s">
        <v>399</v>
      </c>
      <c r="B1" s="340" t="s">
        <v>404</v>
      </c>
      <c r="C1" s="340" t="s">
        <v>405</v>
      </c>
      <c r="D1" s="340" t="s">
        <v>406</v>
      </c>
      <c r="E1" s="340" t="s">
        <v>407</v>
      </c>
      <c r="F1" s="341" t="s">
        <v>408</v>
      </c>
      <c r="G1" s="341" t="s">
        <v>409</v>
      </c>
    </row>
    <row r="2" spans="1:7">
      <c r="A2" s="343" t="s">
        <v>410</v>
      </c>
      <c r="B2" s="344" t="s">
        <v>411</v>
      </c>
      <c r="C2" s="344">
        <v>0</v>
      </c>
      <c r="D2" s="344">
        <v>24</v>
      </c>
      <c r="E2" s="345">
        <f>12/D2*C2</f>
        <v>0</v>
      </c>
      <c r="F2" s="346">
        <v>0</v>
      </c>
      <c r="G2" s="347">
        <f>E2*F2</f>
        <v>0</v>
      </c>
    </row>
    <row r="3" spans="1:7">
      <c r="A3" s="707" t="s">
        <v>412</v>
      </c>
      <c r="B3" s="707"/>
      <c r="C3" s="707"/>
      <c r="D3" s="707"/>
      <c r="E3" s="707"/>
      <c r="F3" s="707"/>
      <c r="G3" s="348">
        <f>SUM(G2:G2)</f>
        <v>0</v>
      </c>
    </row>
    <row r="4" spans="1:7">
      <c r="A4" s="707" t="s">
        <v>413</v>
      </c>
      <c r="B4" s="707"/>
      <c r="C4" s="707"/>
      <c r="D4" s="707"/>
      <c r="E4" s="707"/>
      <c r="F4" s="707"/>
      <c r="G4" s="348">
        <f>G3/12</f>
        <v>0</v>
      </c>
    </row>
    <row r="7" spans="1:7" ht="25.5">
      <c r="A7" s="340" t="s">
        <v>430</v>
      </c>
      <c r="B7" s="340" t="s">
        <v>404</v>
      </c>
      <c r="C7" s="340" t="s">
        <v>407</v>
      </c>
      <c r="D7" s="341" t="s">
        <v>408</v>
      </c>
      <c r="E7" s="341" t="s">
        <v>409</v>
      </c>
      <c r="F7" s="342"/>
    </row>
    <row r="8" spans="1:7">
      <c r="A8" s="349" t="s">
        <v>431</v>
      </c>
      <c r="B8" s="350" t="s">
        <v>424</v>
      </c>
      <c r="C8" s="351">
        <v>6</v>
      </c>
      <c r="D8" s="352">
        <v>40</v>
      </c>
      <c r="E8" s="353">
        <f>C8*D8</f>
        <v>240</v>
      </c>
      <c r="F8" s="342"/>
    </row>
    <row r="9" spans="1:7">
      <c r="A9" s="349" t="s">
        <v>432</v>
      </c>
      <c r="B9" s="350" t="s">
        <v>424</v>
      </c>
      <c r="C9" s="351">
        <v>8</v>
      </c>
      <c r="D9" s="354">
        <v>25</v>
      </c>
      <c r="E9" s="353">
        <f>C9*D9</f>
        <v>200</v>
      </c>
      <c r="F9" s="342"/>
    </row>
    <row r="10" spans="1:7" ht="13.5" customHeight="1">
      <c r="A10" s="349" t="s">
        <v>433</v>
      </c>
      <c r="B10" s="350" t="s">
        <v>424</v>
      </c>
      <c r="C10" s="351">
        <v>6</v>
      </c>
      <c r="D10" s="354">
        <v>45</v>
      </c>
      <c r="E10" s="353">
        <f>C10*D10</f>
        <v>270</v>
      </c>
      <c r="F10" s="342"/>
    </row>
    <row r="11" spans="1:7" ht="13.5" customHeight="1">
      <c r="A11" s="349" t="s">
        <v>435</v>
      </c>
      <c r="B11" s="350" t="s">
        <v>424</v>
      </c>
      <c r="C11" s="351">
        <v>4</v>
      </c>
      <c r="D11" s="354">
        <v>50</v>
      </c>
      <c r="E11" s="353">
        <f t="shared" ref="E11" si="0">C11*D11</f>
        <v>200</v>
      </c>
      <c r="F11" s="342"/>
    </row>
    <row r="12" spans="1:7" ht="13.5" customHeight="1">
      <c r="A12" s="349" t="s">
        <v>434</v>
      </c>
      <c r="B12" s="350" t="s">
        <v>422</v>
      </c>
      <c r="C12" s="351">
        <v>2</v>
      </c>
      <c r="D12" s="354">
        <v>50</v>
      </c>
      <c r="E12" s="353">
        <f>C12*D12</f>
        <v>100</v>
      </c>
      <c r="F12" s="342"/>
    </row>
    <row r="13" spans="1:7" ht="13.5" customHeight="1">
      <c r="A13" s="349"/>
      <c r="B13" s="350"/>
      <c r="C13" s="351">
        <v>36</v>
      </c>
      <c r="D13" s="354">
        <v>2.5</v>
      </c>
      <c r="E13" s="353">
        <f>C13*D13</f>
        <v>90</v>
      </c>
      <c r="F13" s="342"/>
    </row>
    <row r="14" spans="1:7" ht="13.5" customHeight="1">
      <c r="A14" s="349"/>
      <c r="B14" s="350"/>
      <c r="C14" s="351">
        <v>2</v>
      </c>
      <c r="D14" s="354">
        <v>85</v>
      </c>
      <c r="E14" s="353">
        <f>C14*D14</f>
        <v>170</v>
      </c>
      <c r="F14" s="342"/>
    </row>
    <row r="15" spans="1:7" ht="13.5" customHeight="1">
      <c r="A15" s="349"/>
      <c r="B15" s="350"/>
      <c r="C15" s="351">
        <v>3</v>
      </c>
      <c r="D15" s="354">
        <v>80</v>
      </c>
      <c r="E15" s="353">
        <f>C15*D15</f>
        <v>240</v>
      </c>
      <c r="F15" s="342"/>
    </row>
    <row r="16" spans="1:7" ht="13.5" customHeight="1">
      <c r="A16" s="349"/>
      <c r="B16" s="350"/>
      <c r="C16" s="351"/>
      <c r="D16" s="354"/>
      <c r="E16" s="353"/>
      <c r="F16" s="342"/>
    </row>
    <row r="17" spans="1:8" ht="13.5" customHeight="1">
      <c r="A17" s="349" t="s">
        <v>421</v>
      </c>
      <c r="B17" s="350" t="s">
        <v>424</v>
      </c>
      <c r="C17" s="351">
        <v>1</v>
      </c>
      <c r="D17" s="354">
        <v>10</v>
      </c>
      <c r="E17" s="353">
        <f>C17*D17</f>
        <v>10</v>
      </c>
      <c r="F17" s="342"/>
    </row>
    <row r="18" spans="1:8">
      <c r="A18" s="708" t="s">
        <v>414</v>
      </c>
      <c r="B18" s="709"/>
      <c r="C18" s="709"/>
      <c r="D18" s="710"/>
      <c r="E18" s="355">
        <f>SUM(E8:E17)</f>
        <v>1520</v>
      </c>
      <c r="F18" s="342"/>
    </row>
    <row r="19" spans="1:8">
      <c r="A19" s="711" t="s">
        <v>415</v>
      </c>
      <c r="B19" s="712"/>
      <c r="C19" s="712"/>
      <c r="D19" s="713"/>
      <c r="E19" s="356">
        <f>E18/12</f>
        <v>126.66666666666667</v>
      </c>
    </row>
    <row r="20" spans="1:8">
      <c r="A20" s="358"/>
      <c r="B20" s="358"/>
      <c r="C20" s="358"/>
      <c r="D20" s="358"/>
      <c r="E20" s="359"/>
    </row>
    <row r="21" spans="1:8">
      <c r="A21" s="358"/>
      <c r="B21" s="358"/>
      <c r="C21" s="358"/>
      <c r="D21" s="358"/>
      <c r="E21" s="359"/>
    </row>
    <row r="22" spans="1:8">
      <c r="A22" s="358"/>
      <c r="B22" s="358"/>
      <c r="C22" s="358"/>
      <c r="D22" s="358"/>
      <c r="E22" s="359"/>
    </row>
    <row r="23" spans="1:8" ht="38.85" customHeight="1">
      <c r="A23" s="360" t="s">
        <v>416</v>
      </c>
      <c r="B23" s="701" t="s">
        <v>417</v>
      </c>
      <c r="C23" s="702"/>
      <c r="D23" s="701" t="s">
        <v>418</v>
      </c>
      <c r="E23" s="702"/>
      <c r="F23" s="696" t="s">
        <v>419</v>
      </c>
      <c r="G23" s="697"/>
    </row>
    <row r="24" spans="1:8">
      <c r="A24" s="348" t="s">
        <v>399</v>
      </c>
      <c r="B24" s="348"/>
      <c r="C24" s="361">
        <f>G3</f>
        <v>0</v>
      </c>
      <c r="D24" s="703">
        <f>C24/12</f>
        <v>0</v>
      </c>
      <c r="E24" s="704"/>
      <c r="F24" s="705" t="e">
        <f>D24/G26</f>
        <v>#DIV/0!</v>
      </c>
      <c r="G24" s="706"/>
      <c r="H24" s="362"/>
    </row>
    <row r="25" spans="1:8">
      <c r="A25" s="714"/>
      <c r="B25" s="715"/>
      <c r="C25" s="715"/>
      <c r="D25" s="715"/>
      <c r="E25" s="716"/>
      <c r="F25" s="717"/>
      <c r="G25" s="718"/>
      <c r="H25" s="362"/>
    </row>
    <row r="26" spans="1:8" ht="31.35" customHeight="1">
      <c r="A26" s="696" t="s">
        <v>420</v>
      </c>
      <c r="B26" s="697"/>
      <c r="C26" s="697"/>
      <c r="D26" s="697"/>
      <c r="E26" s="697"/>
      <c r="F26" s="698"/>
      <c r="G26" s="363">
        <v>0</v>
      </c>
    </row>
    <row r="27" spans="1:8">
      <c r="A27" s="699"/>
      <c r="B27" s="699"/>
      <c r="C27" s="699"/>
      <c r="D27" s="699"/>
      <c r="E27" s="699"/>
      <c r="F27" s="699"/>
      <c r="G27" s="700"/>
    </row>
  </sheetData>
  <sheetProtection selectLockedCells="1" selectUnlockedCells="1"/>
  <mergeCells count="13">
    <mergeCell ref="A3:F3"/>
    <mergeCell ref="A4:F4"/>
    <mergeCell ref="A18:D18"/>
    <mergeCell ref="A19:D19"/>
    <mergeCell ref="A25:E25"/>
    <mergeCell ref="F25:G25"/>
    <mergeCell ref="A26:F26"/>
    <mergeCell ref="A27:G27"/>
    <mergeCell ref="B23:C23"/>
    <mergeCell ref="D23:E23"/>
    <mergeCell ref="F23:G23"/>
    <mergeCell ref="D24:E24"/>
    <mergeCell ref="F24:G24"/>
  </mergeCells>
  <pageMargins left="0.78749999999999998" right="0.78749999999999998" top="1.0527777777777778" bottom="1.0527777777777778" header="0.78749999999999998" footer="0.78749999999999998"/>
  <pageSetup paperSize="9" scale="67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120"/>
  <sheetViews>
    <sheetView topLeftCell="A97" workbookViewId="0">
      <selection activeCell="G85" sqref="G85"/>
    </sheetView>
  </sheetViews>
  <sheetFormatPr defaultColWidth="11.85546875" defaultRowHeight="15"/>
  <cols>
    <col min="1" max="1" width="6.28515625" style="1" customWidth="1"/>
    <col min="2" max="2" width="4.5703125" style="1" customWidth="1"/>
    <col min="3" max="3" width="9" style="1" customWidth="1"/>
    <col min="4" max="4" width="25" style="1" customWidth="1"/>
    <col min="5" max="5" width="4.7109375" style="1" bestFit="1" customWidth="1"/>
    <col min="6" max="6" width="9" style="1" bestFit="1" customWidth="1"/>
    <col min="7" max="7" width="10.42578125" style="1" customWidth="1"/>
    <col min="8" max="8" width="10.7109375" style="1" customWidth="1"/>
    <col min="9" max="9" width="16.7109375" style="32" customWidth="1"/>
    <col min="10" max="10" width="9" style="33" bestFit="1" customWidth="1"/>
    <col min="11" max="11" width="9.140625" style="1" bestFit="1" customWidth="1"/>
    <col min="12" max="12" width="12.7109375" style="18" bestFit="1" customWidth="1"/>
    <col min="13" max="13" width="13.28515625" style="1" bestFit="1" customWidth="1"/>
    <col min="14" max="16384" width="11.85546875" style="1"/>
  </cols>
  <sheetData>
    <row r="2" spans="2:13">
      <c r="B2" s="463" t="s">
        <v>2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</row>
    <row r="3" spans="2:13" s="2" customFormat="1">
      <c r="B3" s="464" t="e">
        <f>#REF!</f>
        <v>#REF!</v>
      </c>
      <c r="C3" s="465"/>
      <c r="D3" s="465"/>
      <c r="E3" s="465"/>
      <c r="F3" s="465"/>
      <c r="G3" s="465"/>
      <c r="H3" s="465"/>
      <c r="I3" s="465"/>
      <c r="J3" s="465"/>
      <c r="K3" s="465"/>
      <c r="L3" s="466"/>
    </row>
    <row r="4" spans="2:13" s="2" customFormat="1">
      <c r="B4" s="467"/>
      <c r="C4" s="468"/>
      <c r="D4" s="468"/>
      <c r="E4" s="468"/>
      <c r="F4" s="468"/>
      <c r="G4" s="468"/>
      <c r="H4" s="468"/>
      <c r="I4" s="468"/>
      <c r="J4" s="468"/>
      <c r="K4" s="468"/>
      <c r="L4" s="469"/>
    </row>
    <row r="5" spans="2:13">
      <c r="B5" s="3"/>
      <c r="C5" s="4"/>
      <c r="D5" s="4"/>
      <c r="E5" s="4"/>
      <c r="F5" s="4"/>
      <c r="G5" s="4"/>
      <c r="H5" s="4"/>
      <c r="I5" s="5"/>
      <c r="J5" s="4"/>
      <c r="K5" s="6"/>
      <c r="L5" s="7" t="s">
        <v>53</v>
      </c>
    </row>
    <row r="6" spans="2:13">
      <c r="B6" s="454" t="s">
        <v>3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</row>
    <row r="7" spans="2:13">
      <c r="B7" s="59" t="s">
        <v>4</v>
      </c>
      <c r="C7" s="421" t="s">
        <v>5</v>
      </c>
      <c r="D7" s="421"/>
      <c r="E7" s="421"/>
      <c r="F7" s="421"/>
      <c r="G7" s="421"/>
      <c r="H7" s="421"/>
      <c r="I7" s="421"/>
      <c r="J7" s="421"/>
      <c r="K7" s="421"/>
      <c r="L7" s="9" t="e">
        <f>#REF!</f>
        <v>#REF!</v>
      </c>
    </row>
    <row r="8" spans="2:13">
      <c r="B8" s="79" t="s">
        <v>154</v>
      </c>
      <c r="C8" s="421" t="s">
        <v>155</v>
      </c>
      <c r="D8" s="421"/>
      <c r="E8" s="421"/>
      <c r="F8" s="421"/>
      <c r="G8" s="421"/>
      <c r="H8" s="421"/>
      <c r="I8" s="421"/>
      <c r="J8" s="421"/>
      <c r="K8" s="421"/>
      <c r="L8" s="9"/>
    </row>
    <row r="9" spans="2:13">
      <c r="B9" s="59" t="s">
        <v>6</v>
      </c>
      <c r="C9" s="421" t="s">
        <v>7</v>
      </c>
      <c r="D9" s="421"/>
      <c r="E9" s="421"/>
      <c r="F9" s="455" t="s">
        <v>8</v>
      </c>
      <c r="G9" s="455"/>
      <c r="H9" s="455"/>
      <c r="I9" s="455"/>
      <c r="J9" s="10" t="s">
        <v>9</v>
      </c>
      <c r="K9" s="11">
        <v>0</v>
      </c>
      <c r="L9" s="12">
        <v>0</v>
      </c>
      <c r="M9" s="13"/>
    </row>
    <row r="10" spans="2:13">
      <c r="B10" s="90" t="s">
        <v>10</v>
      </c>
      <c r="C10" s="448" t="s">
        <v>160</v>
      </c>
      <c r="D10" s="449"/>
      <c r="E10" s="449"/>
      <c r="F10" s="449"/>
      <c r="G10" s="449"/>
      <c r="H10" s="449"/>
      <c r="I10" s="450"/>
      <c r="J10" s="10" t="s">
        <v>9</v>
      </c>
      <c r="K10" s="11">
        <v>0</v>
      </c>
      <c r="L10" s="12">
        <v>0</v>
      </c>
      <c r="M10" s="13"/>
    </row>
    <row r="11" spans="2:13">
      <c r="B11" s="90" t="s">
        <v>12</v>
      </c>
      <c r="C11" s="448" t="s">
        <v>157</v>
      </c>
      <c r="D11" s="449"/>
      <c r="E11" s="449"/>
      <c r="F11" s="449"/>
      <c r="G11" s="449"/>
      <c r="H11" s="449"/>
      <c r="I11" s="450"/>
      <c r="J11" s="10" t="s">
        <v>9</v>
      </c>
      <c r="K11" s="11">
        <v>0</v>
      </c>
      <c r="L11" s="12">
        <v>0</v>
      </c>
      <c r="M11" s="13"/>
    </row>
    <row r="12" spans="2:13">
      <c r="B12" s="90" t="s">
        <v>14</v>
      </c>
      <c r="C12" s="448" t="s">
        <v>158</v>
      </c>
      <c r="D12" s="449"/>
      <c r="E12" s="449"/>
      <c r="F12" s="449"/>
      <c r="G12" s="449"/>
      <c r="H12" s="449"/>
      <c r="I12" s="450"/>
      <c r="J12" s="10" t="s">
        <v>9</v>
      </c>
      <c r="K12" s="11">
        <v>0</v>
      </c>
      <c r="L12" s="12">
        <v>0</v>
      </c>
      <c r="M12" s="13"/>
    </row>
    <row r="13" spans="2:13">
      <c r="B13" s="90" t="s">
        <v>1</v>
      </c>
      <c r="C13" s="448" t="s">
        <v>159</v>
      </c>
      <c r="D13" s="449"/>
      <c r="E13" s="449"/>
      <c r="F13" s="449"/>
      <c r="G13" s="449"/>
      <c r="H13" s="449"/>
      <c r="I13" s="450"/>
      <c r="J13" s="10" t="s">
        <v>9</v>
      </c>
      <c r="K13" s="11">
        <v>0</v>
      </c>
      <c r="L13" s="12">
        <v>0</v>
      </c>
      <c r="M13" s="13"/>
    </row>
    <row r="14" spans="2:13">
      <c r="B14" s="90" t="s">
        <v>15</v>
      </c>
      <c r="C14" s="477" t="s">
        <v>11</v>
      </c>
      <c r="D14" s="477"/>
      <c r="E14" s="477"/>
      <c r="F14" s="477"/>
      <c r="G14" s="477"/>
      <c r="H14" s="477"/>
      <c r="I14" s="477"/>
      <c r="J14" s="10" t="s">
        <v>9</v>
      </c>
      <c r="K14" s="14">
        <v>0</v>
      </c>
      <c r="L14" s="12">
        <v>0</v>
      </c>
      <c r="M14" s="13"/>
    </row>
    <row r="15" spans="2:13">
      <c r="B15" s="90" t="s">
        <v>16</v>
      </c>
      <c r="C15" s="478" t="s">
        <v>13</v>
      </c>
      <c r="D15" s="478"/>
      <c r="E15" s="478"/>
      <c r="F15" s="478"/>
      <c r="G15" s="478"/>
      <c r="H15" s="478"/>
      <c r="I15" s="478"/>
      <c r="J15" s="478"/>
      <c r="K15" s="478"/>
      <c r="L15" s="12">
        <v>0</v>
      </c>
      <c r="M15" s="13"/>
    </row>
    <row r="16" spans="2:13">
      <c r="B16" s="90" t="s">
        <v>156</v>
      </c>
      <c r="C16" s="458" t="s">
        <v>0</v>
      </c>
      <c r="D16" s="458"/>
      <c r="E16" s="458"/>
      <c r="F16" s="458"/>
      <c r="G16" s="458"/>
      <c r="H16" s="458"/>
      <c r="I16" s="458"/>
      <c r="J16" s="458"/>
      <c r="K16" s="458"/>
      <c r="L16" s="12"/>
      <c r="M16" s="13"/>
    </row>
    <row r="17" spans="2:13">
      <c r="B17" s="479" t="s">
        <v>208</v>
      </c>
      <c r="C17" s="479"/>
      <c r="D17" s="479"/>
      <c r="E17" s="479"/>
      <c r="F17" s="479"/>
      <c r="G17" s="479"/>
      <c r="H17" s="479"/>
      <c r="I17" s="479"/>
      <c r="J17" s="479"/>
      <c r="K17" s="479"/>
      <c r="L17" s="100" t="e">
        <f>SUM(L7:L16)</f>
        <v>#REF!</v>
      </c>
      <c r="M17" s="15"/>
    </row>
    <row r="18" spans="2:13">
      <c r="B18" s="16"/>
      <c r="C18" s="16"/>
      <c r="D18" s="16"/>
      <c r="E18" s="16"/>
      <c r="F18" s="16"/>
      <c r="G18" s="16"/>
      <c r="H18" s="16"/>
      <c r="I18" s="17"/>
      <c r="J18" s="16"/>
      <c r="K18" s="16"/>
    </row>
    <row r="19" spans="2:13">
      <c r="B19" s="454" t="s">
        <v>161</v>
      </c>
      <c r="C19" s="454"/>
      <c r="D19" s="454"/>
      <c r="E19" s="454"/>
      <c r="F19" s="454"/>
      <c r="G19" s="454"/>
      <c r="H19" s="454"/>
      <c r="I19" s="454"/>
      <c r="J19" s="454"/>
      <c r="K19" s="454"/>
      <c r="L19" s="7" t="str">
        <f>L5</f>
        <v>SERVENTE</v>
      </c>
    </row>
    <row r="20" spans="2:13">
      <c r="B20" s="446" t="s">
        <v>162</v>
      </c>
      <c r="C20" s="447"/>
      <c r="D20" s="447"/>
      <c r="E20" s="447"/>
      <c r="F20" s="447"/>
      <c r="G20" s="447"/>
      <c r="H20" s="447"/>
      <c r="I20" s="447"/>
      <c r="J20" s="447"/>
      <c r="K20" s="92" t="s">
        <v>9</v>
      </c>
      <c r="L20" s="12" t="s">
        <v>166</v>
      </c>
    </row>
    <row r="21" spans="2:13">
      <c r="B21" s="90" t="s">
        <v>4</v>
      </c>
      <c r="C21" s="448" t="s">
        <v>163</v>
      </c>
      <c r="D21" s="449"/>
      <c r="E21" s="449"/>
      <c r="F21" s="449"/>
      <c r="G21" s="449"/>
      <c r="H21" s="449"/>
      <c r="I21" s="449"/>
      <c r="J21" s="450"/>
      <c r="K21" s="34">
        <v>8.3299999999999999E-2</v>
      </c>
      <c r="L21" s="12" t="e">
        <f>K21*L17</f>
        <v>#REF!</v>
      </c>
    </row>
    <row r="22" spans="2:13">
      <c r="B22" s="90" t="s">
        <v>6</v>
      </c>
      <c r="C22" s="448" t="s">
        <v>164</v>
      </c>
      <c r="D22" s="449"/>
      <c r="E22" s="449"/>
      <c r="F22" s="449"/>
      <c r="G22" s="449"/>
      <c r="H22" s="449"/>
      <c r="I22" s="449"/>
      <c r="J22" s="450"/>
      <c r="K22" s="34">
        <v>2.7799999999999998E-2</v>
      </c>
      <c r="L22" s="12" t="e">
        <f>K22*L17</f>
        <v>#REF!</v>
      </c>
    </row>
    <row r="23" spans="2:13">
      <c r="B23" s="451" t="s">
        <v>165</v>
      </c>
      <c r="C23" s="452"/>
      <c r="D23" s="452"/>
      <c r="E23" s="452"/>
      <c r="F23" s="452"/>
      <c r="G23" s="452"/>
      <c r="H23" s="452"/>
      <c r="I23" s="452"/>
      <c r="J23" s="453"/>
      <c r="K23" s="34">
        <f>SUM(K21:K22)</f>
        <v>0.1111</v>
      </c>
      <c r="L23" s="12" t="e">
        <f>SUM(L21:L22)</f>
        <v>#REF!</v>
      </c>
    </row>
    <row r="24" spans="2:13">
      <c r="B24" s="93"/>
      <c r="C24" s="94"/>
      <c r="D24" s="94"/>
      <c r="E24" s="94"/>
      <c r="F24" s="94"/>
      <c r="G24" s="94"/>
      <c r="H24" s="94"/>
      <c r="I24" s="94"/>
      <c r="J24" s="95"/>
      <c r="K24" s="34"/>
      <c r="L24" s="12"/>
    </row>
    <row r="25" spans="2:13">
      <c r="B25" s="446" t="s">
        <v>167</v>
      </c>
      <c r="C25" s="447"/>
      <c r="D25" s="447"/>
      <c r="E25" s="447"/>
      <c r="F25" s="447"/>
      <c r="G25" s="447"/>
      <c r="H25" s="447"/>
      <c r="I25" s="447"/>
      <c r="J25" s="447"/>
      <c r="K25" s="92" t="s">
        <v>9</v>
      </c>
      <c r="L25" s="12" t="s">
        <v>166</v>
      </c>
    </row>
    <row r="26" spans="2:13">
      <c r="B26" s="74" t="s">
        <v>4</v>
      </c>
      <c r="C26" s="455" t="s">
        <v>17</v>
      </c>
      <c r="D26" s="455"/>
      <c r="E26" s="455"/>
      <c r="F26" s="455"/>
      <c r="G26" s="455"/>
      <c r="H26" s="455"/>
      <c r="I26" s="455"/>
      <c r="J26" s="455"/>
      <c r="K26" s="27">
        <v>0.2</v>
      </c>
      <c r="L26" s="28" t="e">
        <f>ROUND($K$26*L17,2)</f>
        <v>#REF!</v>
      </c>
    </row>
    <row r="27" spans="2:13">
      <c r="B27" s="74" t="s">
        <v>6</v>
      </c>
      <c r="C27" s="455" t="s">
        <v>18</v>
      </c>
      <c r="D27" s="455"/>
      <c r="E27" s="455"/>
      <c r="F27" s="455"/>
      <c r="G27" s="455"/>
      <c r="H27" s="455"/>
      <c r="I27" s="455"/>
      <c r="J27" s="455"/>
      <c r="K27" s="27">
        <v>1.4999999999999999E-2</v>
      </c>
      <c r="L27" s="28" t="e">
        <f>ROUND($K$27*L17,2)</f>
        <v>#REF!</v>
      </c>
    </row>
    <row r="28" spans="2:13">
      <c r="B28" s="74" t="s">
        <v>10</v>
      </c>
      <c r="C28" s="455" t="s">
        <v>19</v>
      </c>
      <c r="D28" s="455"/>
      <c r="E28" s="455"/>
      <c r="F28" s="455"/>
      <c r="G28" s="455"/>
      <c r="H28" s="455"/>
      <c r="I28" s="455"/>
      <c r="J28" s="455"/>
      <c r="K28" s="27">
        <v>0.01</v>
      </c>
      <c r="L28" s="28" t="e">
        <f>ROUND(K28*$L$17,2)</f>
        <v>#REF!</v>
      </c>
    </row>
    <row r="29" spans="2:13">
      <c r="B29" s="74" t="s">
        <v>12</v>
      </c>
      <c r="C29" s="455" t="s">
        <v>20</v>
      </c>
      <c r="D29" s="455"/>
      <c r="E29" s="455"/>
      <c r="F29" s="455"/>
      <c r="G29" s="455"/>
      <c r="H29" s="455"/>
      <c r="I29" s="455"/>
      <c r="J29" s="455"/>
      <c r="K29" s="27">
        <v>2E-3</v>
      </c>
      <c r="L29" s="28" t="e">
        <f>ROUND(K29*$L$17,2)</f>
        <v>#REF!</v>
      </c>
    </row>
    <row r="30" spans="2:13">
      <c r="B30" s="74" t="s">
        <v>14</v>
      </c>
      <c r="C30" s="455" t="s">
        <v>21</v>
      </c>
      <c r="D30" s="455"/>
      <c r="E30" s="455"/>
      <c r="F30" s="455"/>
      <c r="G30" s="455"/>
      <c r="H30" s="455"/>
      <c r="I30" s="455"/>
      <c r="J30" s="455"/>
      <c r="K30" s="27">
        <v>2.5000000000000001E-2</v>
      </c>
      <c r="L30" s="28" t="e">
        <f>ROUND(K30*$L$17,2)</f>
        <v>#REF!</v>
      </c>
      <c r="M30" s="29"/>
    </row>
    <row r="31" spans="2:13">
      <c r="B31" s="74" t="s">
        <v>1</v>
      </c>
      <c r="C31" s="448" t="s">
        <v>153</v>
      </c>
      <c r="D31" s="450"/>
      <c r="E31" s="459">
        <v>0.08</v>
      </c>
      <c r="F31" s="460"/>
      <c r="G31" s="448" t="s">
        <v>152</v>
      </c>
      <c r="H31" s="449"/>
      <c r="I31" s="449"/>
      <c r="J31" s="450"/>
      <c r="K31" s="27">
        <f>E31*(1+(1/12)+(1/12/3))</f>
        <v>8.8888888888888878E-2</v>
      </c>
      <c r="L31" s="28" t="e">
        <f>ROUND(K31*($L$17+(1/3/12*L17)+(1/12*L17)),2)</f>
        <v>#REF!</v>
      </c>
      <c r="M31" s="1" t="s">
        <v>168</v>
      </c>
    </row>
    <row r="32" spans="2:13">
      <c r="B32" s="74" t="s">
        <v>15</v>
      </c>
      <c r="C32" s="455" t="s">
        <v>22</v>
      </c>
      <c r="D32" s="455"/>
      <c r="E32" s="455"/>
      <c r="F32" s="455"/>
      <c r="G32" s="73" t="s">
        <v>23</v>
      </c>
      <c r="H32" s="30">
        <v>0.03</v>
      </c>
      <c r="I32" s="73" t="s">
        <v>24</v>
      </c>
      <c r="J32" s="63">
        <v>1</v>
      </c>
      <c r="K32" s="31">
        <f>H32*J32</f>
        <v>0.03</v>
      </c>
      <c r="L32" s="28" t="e">
        <f>ROUND(K32*$L$17,2)</f>
        <v>#REF!</v>
      </c>
    </row>
    <row r="33" spans="2:20">
      <c r="B33" s="74" t="s">
        <v>16</v>
      </c>
      <c r="C33" s="455" t="s">
        <v>25</v>
      </c>
      <c r="D33" s="455"/>
      <c r="E33" s="455"/>
      <c r="F33" s="455"/>
      <c r="G33" s="455"/>
      <c r="H33" s="455"/>
      <c r="I33" s="455"/>
      <c r="J33" s="455"/>
      <c r="K33" s="27">
        <v>6.0000000000000001E-3</v>
      </c>
      <c r="L33" s="28" t="e">
        <f>ROUND(K33*$L$17,2)</f>
        <v>#REF!</v>
      </c>
      <c r="M33" s="2"/>
      <c r="N33" s="2"/>
      <c r="O33" s="2"/>
      <c r="P33" s="2"/>
      <c r="Q33" s="2"/>
      <c r="R33" s="2"/>
      <c r="S33" s="2"/>
      <c r="T33" s="2"/>
    </row>
    <row r="34" spans="2:20">
      <c r="B34" s="451" t="s">
        <v>169</v>
      </c>
      <c r="C34" s="452"/>
      <c r="D34" s="452"/>
      <c r="E34" s="452"/>
      <c r="F34" s="452"/>
      <c r="G34" s="452"/>
      <c r="H34" s="452"/>
      <c r="I34" s="452"/>
      <c r="J34" s="453"/>
      <c r="K34" s="34">
        <f>SUM(K26:K33)</f>
        <v>0.37688888888888894</v>
      </c>
      <c r="L34" s="12" t="e">
        <f>SUM(L26:L33)</f>
        <v>#REF!</v>
      </c>
      <c r="M34" s="2"/>
      <c r="N34" s="2"/>
      <c r="O34" s="2"/>
      <c r="P34" s="2"/>
      <c r="Q34" s="2"/>
      <c r="R34" s="2"/>
      <c r="S34" s="2"/>
      <c r="T34" s="2"/>
    </row>
    <row r="35" spans="2:20">
      <c r="B35" s="93"/>
      <c r="C35" s="94"/>
      <c r="D35" s="94"/>
      <c r="E35" s="94"/>
      <c r="F35" s="94"/>
      <c r="G35" s="94"/>
      <c r="H35" s="94"/>
      <c r="I35" s="94"/>
      <c r="J35" s="95"/>
      <c r="K35" s="34"/>
      <c r="L35" s="12"/>
      <c r="M35" s="2"/>
      <c r="N35" s="2"/>
      <c r="O35" s="2"/>
      <c r="P35" s="2"/>
      <c r="Q35" s="2"/>
      <c r="R35" s="2"/>
      <c r="S35" s="2"/>
      <c r="T35" s="2"/>
    </row>
    <row r="36" spans="2:20">
      <c r="B36" s="446" t="s">
        <v>170</v>
      </c>
      <c r="C36" s="447"/>
      <c r="D36" s="447"/>
      <c r="E36" s="447"/>
      <c r="F36" s="447"/>
      <c r="G36" s="447"/>
      <c r="H36" s="447"/>
      <c r="I36" s="447"/>
      <c r="J36" s="447"/>
      <c r="K36" s="92"/>
      <c r="L36" s="12" t="s">
        <v>166</v>
      </c>
    </row>
    <row r="37" spans="2:20">
      <c r="B37" s="59" t="s">
        <v>4</v>
      </c>
      <c r="C37" s="448" t="e">
        <f>#REF!</f>
        <v>#REF!</v>
      </c>
      <c r="D37" s="449"/>
      <c r="E37" s="449"/>
      <c r="F37" s="449"/>
      <c r="G37" s="449"/>
      <c r="H37" s="449"/>
      <c r="I37" s="449"/>
      <c r="J37" s="450"/>
      <c r="K37" s="80"/>
      <c r="L37" s="12" t="e">
        <f>#REF!</f>
        <v>#REF!</v>
      </c>
    </row>
    <row r="38" spans="2:20">
      <c r="B38" s="59" t="s">
        <v>6</v>
      </c>
      <c r="C38" s="448" t="e">
        <f>#REF!</f>
        <v>#REF!</v>
      </c>
      <c r="D38" s="449"/>
      <c r="E38" s="449"/>
      <c r="F38" s="449"/>
      <c r="G38" s="449"/>
      <c r="H38" s="449"/>
      <c r="I38" s="449"/>
      <c r="J38" s="450"/>
      <c r="K38" s="80"/>
      <c r="L38" s="12" t="e">
        <f>#REF!</f>
        <v>#REF!</v>
      </c>
    </row>
    <row r="39" spans="2:20">
      <c r="B39" s="59" t="s">
        <v>10</v>
      </c>
      <c r="C39" s="448" t="e">
        <f>#REF!</f>
        <v>#REF!</v>
      </c>
      <c r="D39" s="449"/>
      <c r="E39" s="449"/>
      <c r="F39" s="449"/>
      <c r="G39" s="449"/>
      <c r="H39" s="449"/>
      <c r="I39" s="449"/>
      <c r="J39" s="450"/>
      <c r="K39" s="80"/>
      <c r="L39" s="12" t="e">
        <f>#REF!</f>
        <v>#REF!</v>
      </c>
    </row>
    <row r="40" spans="2:20">
      <c r="B40" s="79" t="s">
        <v>12</v>
      </c>
      <c r="C40" s="448" t="e">
        <f>#REF!</f>
        <v>#REF!</v>
      </c>
      <c r="D40" s="449"/>
      <c r="E40" s="449"/>
      <c r="F40" s="449"/>
      <c r="G40" s="449"/>
      <c r="H40" s="449"/>
      <c r="I40" s="449"/>
      <c r="J40" s="450"/>
      <c r="K40" s="80"/>
      <c r="L40" s="12" t="e">
        <f>#REF!</f>
        <v>#REF!</v>
      </c>
    </row>
    <row r="41" spans="2:20">
      <c r="B41" s="79" t="s">
        <v>14</v>
      </c>
      <c r="C41" s="448" t="e">
        <f>#REF!</f>
        <v>#REF!</v>
      </c>
      <c r="D41" s="449"/>
      <c r="E41" s="449"/>
      <c r="F41" s="449"/>
      <c r="G41" s="449"/>
      <c r="H41" s="449"/>
      <c r="I41" s="449"/>
      <c r="J41" s="450"/>
      <c r="K41" s="81"/>
      <c r="L41" s="12" t="e">
        <f>#REF!</f>
        <v>#REF!</v>
      </c>
    </row>
    <row r="42" spans="2:20">
      <c r="B42" s="79" t="s">
        <v>1</v>
      </c>
      <c r="C42" s="448" t="e">
        <f>#REF!</f>
        <v>#REF!</v>
      </c>
      <c r="D42" s="449"/>
      <c r="E42" s="449"/>
      <c r="F42" s="449"/>
      <c r="G42" s="449"/>
      <c r="H42" s="449"/>
      <c r="I42" s="449"/>
      <c r="J42" s="450"/>
      <c r="K42" s="82"/>
      <c r="L42" s="12" t="e">
        <f>#REF!</f>
        <v>#REF!</v>
      </c>
    </row>
    <row r="43" spans="2:20">
      <c r="B43" s="79" t="s">
        <v>15</v>
      </c>
      <c r="C43" s="448" t="e">
        <f>#REF!</f>
        <v>#REF!</v>
      </c>
      <c r="D43" s="449"/>
      <c r="E43" s="449"/>
      <c r="F43" s="449"/>
      <c r="G43" s="449"/>
      <c r="H43" s="449"/>
      <c r="I43" s="449"/>
      <c r="J43" s="450"/>
      <c r="K43" s="82"/>
      <c r="L43" s="12" t="e">
        <f>#REF!</f>
        <v>#REF!</v>
      </c>
    </row>
    <row r="44" spans="2:20">
      <c r="B44" s="79" t="s">
        <v>16</v>
      </c>
      <c r="C44" s="458" t="s">
        <v>0</v>
      </c>
      <c r="D44" s="458"/>
      <c r="E44" s="458"/>
      <c r="F44" s="458"/>
      <c r="G44" s="458"/>
      <c r="H44" s="458"/>
      <c r="I44" s="458"/>
      <c r="J44" s="458"/>
      <c r="K44" s="458"/>
      <c r="L44" s="19">
        <v>0</v>
      </c>
    </row>
    <row r="45" spans="2:20">
      <c r="B45" s="451" t="s">
        <v>172</v>
      </c>
      <c r="C45" s="452"/>
      <c r="D45" s="452"/>
      <c r="E45" s="452"/>
      <c r="F45" s="452"/>
      <c r="G45" s="452"/>
      <c r="H45" s="452"/>
      <c r="I45" s="452"/>
      <c r="J45" s="453"/>
      <c r="K45" s="34"/>
      <c r="L45" s="12" t="e">
        <f>SUM(L37:L44)</f>
        <v>#REF!</v>
      </c>
    </row>
    <row r="46" spans="2:20">
      <c r="B46" s="93"/>
      <c r="C46" s="94"/>
      <c r="D46" s="94"/>
      <c r="E46" s="94"/>
      <c r="F46" s="94"/>
      <c r="G46" s="94"/>
      <c r="H46" s="94"/>
      <c r="I46" s="94"/>
      <c r="J46" s="95"/>
      <c r="K46" s="34"/>
      <c r="L46" s="12"/>
    </row>
    <row r="47" spans="2:20">
      <c r="B47" s="473" t="s">
        <v>173</v>
      </c>
      <c r="C47" s="473"/>
      <c r="D47" s="473"/>
      <c r="E47" s="473"/>
      <c r="F47" s="473"/>
      <c r="G47" s="473"/>
      <c r="H47" s="473"/>
      <c r="I47" s="473"/>
      <c r="J47" s="473"/>
      <c r="K47" s="473"/>
      <c r="L47" s="7" t="str">
        <f>L5</f>
        <v>SERVENTE</v>
      </c>
    </row>
    <row r="48" spans="2:20">
      <c r="B48" s="90" t="s">
        <v>174</v>
      </c>
      <c r="C48" s="448" t="s">
        <v>177</v>
      </c>
      <c r="D48" s="449"/>
      <c r="E48" s="449"/>
      <c r="F48" s="449"/>
      <c r="G48" s="449"/>
      <c r="H48" s="449"/>
      <c r="I48" s="449"/>
      <c r="J48" s="450"/>
      <c r="K48" s="80"/>
      <c r="L48" s="12" t="e">
        <f>L23</f>
        <v>#REF!</v>
      </c>
    </row>
    <row r="49" spans="2:12">
      <c r="B49" s="90" t="s">
        <v>175</v>
      </c>
      <c r="C49" s="448" t="s">
        <v>178</v>
      </c>
      <c r="D49" s="449"/>
      <c r="E49" s="449"/>
      <c r="F49" s="449"/>
      <c r="G49" s="449"/>
      <c r="H49" s="449"/>
      <c r="I49" s="449"/>
      <c r="J49" s="450"/>
      <c r="K49" s="80"/>
      <c r="L49" s="12" t="e">
        <f>L34</f>
        <v>#REF!</v>
      </c>
    </row>
    <row r="50" spans="2:12">
      <c r="B50" s="90" t="s">
        <v>176</v>
      </c>
      <c r="C50" s="448" t="s">
        <v>180</v>
      </c>
      <c r="D50" s="449"/>
      <c r="E50" s="449"/>
      <c r="F50" s="449"/>
      <c r="G50" s="449"/>
      <c r="H50" s="449"/>
      <c r="I50" s="449"/>
      <c r="J50" s="450"/>
      <c r="K50" s="80"/>
      <c r="L50" s="12" t="e">
        <f>L45</f>
        <v>#REF!</v>
      </c>
    </row>
    <row r="51" spans="2:12">
      <c r="B51" s="474" t="s">
        <v>179</v>
      </c>
      <c r="C51" s="475"/>
      <c r="D51" s="475"/>
      <c r="E51" s="475"/>
      <c r="F51" s="475"/>
      <c r="G51" s="475"/>
      <c r="H51" s="475"/>
      <c r="I51" s="475"/>
      <c r="J51" s="476"/>
      <c r="K51" s="101"/>
      <c r="L51" s="102" t="e">
        <f>SUM(L48:L50)</f>
        <v>#REF!</v>
      </c>
    </row>
    <row r="52" spans="2:12">
      <c r="B52" s="461"/>
      <c r="C52" s="462"/>
      <c r="D52" s="462"/>
      <c r="E52" s="462"/>
      <c r="F52" s="462"/>
      <c r="G52" s="462"/>
      <c r="H52" s="462"/>
      <c r="I52" s="462"/>
      <c r="J52" s="462"/>
      <c r="K52" s="462"/>
      <c r="L52" s="462"/>
    </row>
    <row r="53" spans="2:12">
      <c r="B53" s="454" t="s">
        <v>171</v>
      </c>
      <c r="C53" s="454"/>
      <c r="D53" s="454"/>
      <c r="E53" s="454"/>
      <c r="F53" s="454"/>
      <c r="G53" s="454"/>
      <c r="H53" s="454"/>
      <c r="I53" s="454"/>
      <c r="J53" s="454"/>
      <c r="K53" s="97" t="s">
        <v>9</v>
      </c>
      <c r="L53" s="98" t="s">
        <v>166</v>
      </c>
    </row>
    <row r="54" spans="2:12">
      <c r="B54" s="59" t="s">
        <v>4</v>
      </c>
      <c r="C54" s="455" t="s">
        <v>26</v>
      </c>
      <c r="D54" s="455"/>
      <c r="E54" s="455"/>
      <c r="F54" s="455"/>
      <c r="G54" s="455"/>
      <c r="H54" s="455"/>
      <c r="I54" s="38">
        <v>30</v>
      </c>
      <c r="J54" s="39">
        <v>0.05</v>
      </c>
      <c r="K54" s="34">
        <f>I54/30/12*J54</f>
        <v>4.1666666666666666E-3</v>
      </c>
      <c r="L54" s="12" t="e">
        <f t="shared" ref="L54:L59" si="0">ROUND(K54*$L$17,2)</f>
        <v>#REF!</v>
      </c>
    </row>
    <row r="55" spans="2:12">
      <c r="B55" s="59" t="s">
        <v>6</v>
      </c>
      <c r="C55" s="455" t="s">
        <v>27</v>
      </c>
      <c r="D55" s="455"/>
      <c r="E55" s="455"/>
      <c r="F55" s="455"/>
      <c r="G55" s="455"/>
      <c r="H55" s="455"/>
      <c r="I55" s="455"/>
      <c r="J55" s="455"/>
      <c r="K55" s="34">
        <f>K31*K54</f>
        <v>3.703703703703703E-4</v>
      </c>
      <c r="L55" s="12" t="e">
        <f t="shared" si="0"/>
        <v>#REF!</v>
      </c>
    </row>
    <row r="56" spans="2:12">
      <c r="B56" s="90" t="s">
        <v>10</v>
      </c>
      <c r="C56" s="455" t="s">
        <v>182</v>
      </c>
      <c r="D56" s="455"/>
      <c r="E56" s="455"/>
      <c r="F56" s="455"/>
      <c r="G56" s="455"/>
      <c r="H56" s="455"/>
      <c r="I56" s="455"/>
      <c r="J56" s="455"/>
      <c r="K56" s="34">
        <f>0.5*K55</f>
        <v>1.8518518518518515E-4</v>
      </c>
      <c r="L56" s="12" t="e">
        <f t="shared" si="0"/>
        <v>#REF!</v>
      </c>
    </row>
    <row r="57" spans="2:12">
      <c r="B57" s="90" t="s">
        <v>12</v>
      </c>
      <c r="C57" s="455" t="s">
        <v>184</v>
      </c>
      <c r="D57" s="455"/>
      <c r="E57" s="455"/>
      <c r="F57" s="455"/>
      <c r="G57" s="455"/>
      <c r="H57" s="455"/>
      <c r="I57" s="455"/>
      <c r="J57" s="455"/>
      <c r="K57" s="34">
        <v>4.0000000000000002E-4</v>
      </c>
      <c r="L57" s="12" t="e">
        <f t="shared" si="0"/>
        <v>#REF!</v>
      </c>
    </row>
    <row r="58" spans="2:12">
      <c r="B58" s="90" t="s">
        <v>14</v>
      </c>
      <c r="C58" s="455" t="s">
        <v>183</v>
      </c>
      <c r="D58" s="455"/>
      <c r="E58" s="455"/>
      <c r="F58" s="455"/>
      <c r="G58" s="455"/>
      <c r="H58" s="455"/>
      <c r="I58" s="455"/>
      <c r="J58" s="455"/>
      <c r="K58" s="34">
        <f>K34*K57</f>
        <v>1.5075555555555558E-4</v>
      </c>
      <c r="L58" s="12" t="e">
        <f t="shared" si="0"/>
        <v>#REF!</v>
      </c>
    </row>
    <row r="59" spans="2:12">
      <c r="B59" s="90" t="s">
        <v>1</v>
      </c>
      <c r="C59" s="455" t="s">
        <v>185</v>
      </c>
      <c r="D59" s="455"/>
      <c r="E59" s="455"/>
      <c r="F59" s="455"/>
      <c r="G59" s="455"/>
      <c r="H59" s="455"/>
      <c r="I59" s="455"/>
      <c r="J59" s="455"/>
      <c r="K59" s="96">
        <f>0.5*0.08*K57</f>
        <v>1.6000000000000003E-5</v>
      </c>
      <c r="L59" s="12" t="e">
        <f t="shared" si="0"/>
        <v>#REF!</v>
      </c>
    </row>
    <row r="60" spans="2:12" ht="15" customHeight="1">
      <c r="B60" s="474" t="s">
        <v>181</v>
      </c>
      <c r="C60" s="475"/>
      <c r="D60" s="475"/>
      <c r="E60" s="475"/>
      <c r="F60" s="475"/>
      <c r="G60" s="475"/>
      <c r="H60" s="475"/>
      <c r="I60" s="475"/>
      <c r="J60" s="476"/>
      <c r="K60" s="101"/>
      <c r="L60" s="102" t="e">
        <f>SUM(L54:L59)</f>
        <v>#REF!</v>
      </c>
    </row>
    <row r="61" spans="2:12">
      <c r="B61" s="20"/>
      <c r="C61" s="16"/>
      <c r="D61" s="16"/>
      <c r="E61" s="20"/>
      <c r="F61" s="20"/>
      <c r="G61" s="20"/>
      <c r="H61" s="20"/>
      <c r="I61" s="21"/>
      <c r="J61" s="22"/>
      <c r="K61" s="20"/>
    </row>
    <row r="62" spans="2:12">
      <c r="B62" s="454" t="s">
        <v>186</v>
      </c>
      <c r="C62" s="454"/>
      <c r="D62" s="454"/>
      <c r="E62" s="454"/>
      <c r="F62" s="454"/>
      <c r="G62" s="454"/>
      <c r="H62" s="454"/>
      <c r="I62" s="454"/>
      <c r="J62" s="454"/>
      <c r="K62" s="97"/>
      <c r="L62" s="98"/>
    </row>
    <row r="63" spans="2:12">
      <c r="B63" s="446" t="s">
        <v>191</v>
      </c>
      <c r="C63" s="447"/>
      <c r="D63" s="447"/>
      <c r="E63" s="447"/>
      <c r="F63" s="447"/>
      <c r="G63" s="447"/>
      <c r="H63" s="447"/>
      <c r="I63" s="447"/>
      <c r="J63" s="447"/>
      <c r="K63" s="92" t="s">
        <v>9</v>
      </c>
      <c r="L63" s="12" t="s">
        <v>166</v>
      </c>
    </row>
    <row r="64" spans="2:12">
      <c r="B64" s="59" t="s">
        <v>4</v>
      </c>
      <c r="C64" s="421" t="s">
        <v>187</v>
      </c>
      <c r="D64" s="421"/>
      <c r="E64" s="421"/>
      <c r="F64" s="421"/>
      <c r="G64" s="421"/>
      <c r="H64" s="421"/>
      <c r="I64" s="421"/>
      <c r="J64" s="421"/>
      <c r="K64" s="41">
        <f>1/12</f>
        <v>8.3333333333333329E-2</v>
      </c>
      <c r="L64" s="12" t="e">
        <f t="shared" ref="L64:L69" si="1">K64*$L$17</f>
        <v>#REF!</v>
      </c>
    </row>
    <row r="65" spans="2:13">
      <c r="B65" s="59" t="s">
        <v>6</v>
      </c>
      <c r="C65" s="455" t="s">
        <v>188</v>
      </c>
      <c r="D65" s="455"/>
      <c r="E65" s="455"/>
      <c r="F65" s="455"/>
      <c r="G65" s="456" t="s">
        <v>29</v>
      </c>
      <c r="H65" s="456"/>
      <c r="I65" s="456"/>
      <c r="J65" s="42">
        <v>3</v>
      </c>
      <c r="K65" s="41">
        <f>J65/30/12</f>
        <v>8.3333333333333332E-3</v>
      </c>
      <c r="L65" s="12" t="e">
        <f t="shared" si="1"/>
        <v>#REF!</v>
      </c>
      <c r="M65" s="1" t="s">
        <v>168</v>
      </c>
    </row>
    <row r="66" spans="2:13">
      <c r="B66" s="59" t="s">
        <v>10</v>
      </c>
      <c r="C66" s="455" t="s">
        <v>30</v>
      </c>
      <c r="D66" s="455"/>
      <c r="E66" s="455"/>
      <c r="F66" s="455"/>
      <c r="G66" s="456" t="s">
        <v>28</v>
      </c>
      <c r="H66" s="456"/>
      <c r="I66" s="36">
        <v>1.4999999999999999E-2</v>
      </c>
      <c r="J66" s="43">
        <v>5</v>
      </c>
      <c r="K66" s="41">
        <f>J66/30/12*I66</f>
        <v>2.0833333333333332E-4</v>
      </c>
      <c r="L66" s="12" t="e">
        <f t="shared" si="1"/>
        <v>#REF!</v>
      </c>
    </row>
    <row r="67" spans="2:13">
      <c r="B67" s="59" t="s">
        <v>12</v>
      </c>
      <c r="C67" s="456" t="s">
        <v>189</v>
      </c>
      <c r="D67" s="456"/>
      <c r="E67" s="456"/>
      <c r="F67" s="42"/>
      <c r="G67" s="456" t="s">
        <v>28</v>
      </c>
      <c r="H67" s="456"/>
      <c r="I67" s="36">
        <v>7.7999999999999996E-3</v>
      </c>
      <c r="J67" s="44">
        <v>15</v>
      </c>
      <c r="K67" s="41">
        <f>J67/30/12*I67</f>
        <v>3.2499999999999999E-4</v>
      </c>
      <c r="L67" s="12" t="e">
        <f t="shared" si="1"/>
        <v>#REF!</v>
      </c>
    </row>
    <row r="68" spans="2:13">
      <c r="B68" s="59" t="s">
        <v>14</v>
      </c>
      <c r="C68" s="456" t="s">
        <v>190</v>
      </c>
      <c r="D68" s="456"/>
      <c r="E68" s="456"/>
      <c r="F68" s="42"/>
      <c r="G68" s="457"/>
      <c r="H68" s="456"/>
      <c r="I68" s="36"/>
      <c r="J68" s="44"/>
      <c r="K68" s="41">
        <v>6.1000000000000004E-3</v>
      </c>
      <c r="L68" s="12" t="e">
        <f t="shared" si="1"/>
        <v>#REF!</v>
      </c>
      <c r="M68" s="64" t="s">
        <v>168</v>
      </c>
    </row>
    <row r="69" spans="2:13">
      <c r="B69" s="59" t="s">
        <v>1</v>
      </c>
      <c r="C69" s="458" t="s">
        <v>0</v>
      </c>
      <c r="D69" s="458"/>
      <c r="E69" s="458" t="s">
        <v>31</v>
      </c>
      <c r="F69" s="458"/>
      <c r="G69" s="458"/>
      <c r="H69" s="458"/>
      <c r="I69" s="458"/>
      <c r="J69" s="458"/>
      <c r="K69" s="45"/>
      <c r="L69" s="12" t="e">
        <f t="shared" si="1"/>
        <v>#REF!</v>
      </c>
      <c r="M69" s="64"/>
    </row>
    <row r="70" spans="2:13">
      <c r="B70" s="451" t="s">
        <v>192</v>
      </c>
      <c r="C70" s="452"/>
      <c r="D70" s="452"/>
      <c r="E70" s="452"/>
      <c r="F70" s="452"/>
      <c r="G70" s="452"/>
      <c r="H70" s="452"/>
      <c r="I70" s="452"/>
      <c r="J70" s="453"/>
      <c r="K70" s="46"/>
      <c r="L70" s="12" t="e">
        <f>SUM(L64:L69)</f>
        <v>#REF!</v>
      </c>
    </row>
    <row r="71" spans="2:13">
      <c r="B71" s="93"/>
      <c r="C71" s="94"/>
      <c r="D71" s="94"/>
      <c r="E71" s="94"/>
      <c r="F71" s="94"/>
      <c r="G71" s="94"/>
      <c r="H71" s="94"/>
      <c r="I71" s="94"/>
      <c r="J71" s="95"/>
      <c r="K71" s="34"/>
      <c r="L71" s="12"/>
    </row>
    <row r="72" spans="2:13">
      <c r="B72" s="446" t="s">
        <v>193</v>
      </c>
      <c r="C72" s="447"/>
      <c r="D72" s="447"/>
      <c r="E72" s="447"/>
      <c r="F72" s="447"/>
      <c r="G72" s="447"/>
      <c r="H72" s="447"/>
      <c r="I72" s="447"/>
      <c r="J72" s="447"/>
      <c r="K72" s="92" t="s">
        <v>9</v>
      </c>
      <c r="L72" s="12" t="s">
        <v>166</v>
      </c>
    </row>
    <row r="73" spans="2:13">
      <c r="B73" s="90" t="s">
        <v>4</v>
      </c>
      <c r="C73" s="421" t="s">
        <v>194</v>
      </c>
      <c r="D73" s="421"/>
      <c r="E73" s="421"/>
      <c r="F73" s="421"/>
      <c r="G73" s="421"/>
      <c r="H73" s="421"/>
      <c r="I73" s="421"/>
      <c r="J73" s="421"/>
      <c r="K73" s="41">
        <v>0</v>
      </c>
      <c r="L73" s="12" t="e">
        <f>K73*$L$17</f>
        <v>#REF!</v>
      </c>
    </row>
    <row r="74" spans="2:13">
      <c r="B74" s="451" t="s">
        <v>195</v>
      </c>
      <c r="C74" s="452"/>
      <c r="D74" s="452"/>
      <c r="E74" s="452"/>
      <c r="F74" s="452"/>
      <c r="G74" s="452"/>
      <c r="H74" s="452"/>
      <c r="I74" s="452"/>
      <c r="J74" s="453"/>
      <c r="K74" s="46"/>
      <c r="L74" s="12" t="e">
        <f>SUM(L73:L73)</f>
        <v>#REF!</v>
      </c>
    </row>
    <row r="75" spans="2:13">
      <c r="B75" s="93"/>
      <c r="C75" s="94"/>
      <c r="D75" s="94"/>
      <c r="E75" s="94"/>
      <c r="F75" s="94"/>
      <c r="G75" s="94"/>
      <c r="H75" s="94"/>
      <c r="I75" s="94"/>
      <c r="J75" s="94"/>
      <c r="K75" s="99"/>
      <c r="L75" s="12"/>
    </row>
    <row r="76" spans="2:13">
      <c r="B76" s="473" t="s">
        <v>196</v>
      </c>
      <c r="C76" s="473"/>
      <c r="D76" s="473"/>
      <c r="E76" s="473"/>
      <c r="F76" s="473"/>
      <c r="G76" s="473"/>
      <c r="H76" s="473"/>
      <c r="I76" s="473"/>
      <c r="J76" s="473"/>
      <c r="K76" s="473"/>
      <c r="L76" s="7" t="e">
        <f>L34</f>
        <v>#REF!</v>
      </c>
    </row>
    <row r="77" spans="2:13">
      <c r="B77" s="90" t="s">
        <v>197</v>
      </c>
      <c r="C77" s="448" t="s">
        <v>188</v>
      </c>
      <c r="D77" s="449"/>
      <c r="E77" s="449"/>
      <c r="F77" s="449"/>
      <c r="G77" s="449"/>
      <c r="H77" s="449"/>
      <c r="I77" s="449"/>
      <c r="J77" s="450"/>
      <c r="K77" s="80"/>
      <c r="L77" s="12" t="e">
        <f>L70</f>
        <v>#REF!</v>
      </c>
    </row>
    <row r="78" spans="2:13">
      <c r="B78" s="90" t="s">
        <v>198</v>
      </c>
      <c r="C78" s="448" t="s">
        <v>199</v>
      </c>
      <c r="D78" s="449"/>
      <c r="E78" s="449"/>
      <c r="F78" s="449"/>
      <c r="G78" s="449"/>
      <c r="H78" s="449"/>
      <c r="I78" s="449"/>
      <c r="J78" s="450"/>
      <c r="K78" s="80"/>
      <c r="L78" s="12" t="e">
        <f>L74</f>
        <v>#REF!</v>
      </c>
    </row>
    <row r="79" spans="2:13">
      <c r="B79" s="474" t="s">
        <v>200</v>
      </c>
      <c r="C79" s="475"/>
      <c r="D79" s="475"/>
      <c r="E79" s="475"/>
      <c r="F79" s="475"/>
      <c r="G79" s="475"/>
      <c r="H79" s="475"/>
      <c r="I79" s="475"/>
      <c r="J79" s="476"/>
      <c r="K79" s="101"/>
      <c r="L79" s="102" t="e">
        <f>SUM(L77:L78)</f>
        <v>#REF!</v>
      </c>
    </row>
    <row r="80" spans="2:13">
      <c r="B80" s="461"/>
      <c r="C80" s="462"/>
      <c r="D80" s="462"/>
      <c r="E80" s="462"/>
      <c r="F80" s="462"/>
      <c r="G80" s="462"/>
      <c r="H80" s="462"/>
      <c r="I80" s="462"/>
      <c r="J80" s="462"/>
      <c r="K80" s="462"/>
      <c r="L80" s="462"/>
    </row>
    <row r="81" spans="2:13">
      <c r="B81" s="454" t="s">
        <v>201</v>
      </c>
      <c r="C81" s="454"/>
      <c r="D81" s="454"/>
      <c r="E81" s="454"/>
      <c r="F81" s="454"/>
      <c r="G81" s="454"/>
      <c r="H81" s="454"/>
      <c r="I81" s="454"/>
      <c r="J81" s="454"/>
      <c r="K81" s="97"/>
      <c r="L81" s="98"/>
      <c r="M81" s="23"/>
    </row>
    <row r="82" spans="2:13">
      <c r="B82" s="59" t="s">
        <v>4</v>
      </c>
      <c r="C82" s="470" t="s">
        <v>54</v>
      </c>
      <c r="D82" s="470"/>
      <c r="E82" s="470"/>
      <c r="F82" s="470"/>
      <c r="G82" s="470"/>
      <c r="H82" s="470"/>
      <c r="I82" s="470"/>
      <c r="J82" s="470"/>
      <c r="K82" s="470"/>
      <c r="L82" s="12" t="e">
        <f>#REF!</f>
        <v>#REF!</v>
      </c>
    </row>
    <row r="83" spans="2:13">
      <c r="B83" s="59" t="s">
        <v>6</v>
      </c>
      <c r="C83" s="408" t="s">
        <v>203</v>
      </c>
      <c r="D83" s="409"/>
      <c r="E83" s="410" t="s">
        <v>55</v>
      </c>
      <c r="F83" s="411"/>
      <c r="G83" s="411"/>
      <c r="H83" s="411"/>
      <c r="I83" s="412"/>
      <c r="J83" s="471">
        <v>0.12</v>
      </c>
      <c r="K83" s="472"/>
      <c r="L83" s="19" t="e">
        <f>(L17+L51+L60+L79+L82)/(1-J83)*J83</f>
        <v>#REF!</v>
      </c>
      <c r="M83" s="24"/>
    </row>
    <row r="84" spans="2:13">
      <c r="B84" s="91" t="s">
        <v>210</v>
      </c>
      <c r="C84" s="408" t="s">
        <v>211</v>
      </c>
      <c r="D84" s="409"/>
      <c r="E84" s="410"/>
      <c r="F84" s="411"/>
      <c r="G84" s="411"/>
      <c r="H84" s="411"/>
      <c r="I84" s="412"/>
      <c r="J84" s="413">
        <f>H95+H96</f>
        <v>9.2499999999999999E-2</v>
      </c>
      <c r="K84" s="414"/>
      <c r="L84" s="19" t="e">
        <f>-J84*L83</f>
        <v>#REF!</v>
      </c>
      <c r="M84" s="24"/>
    </row>
    <row r="85" spans="2:13">
      <c r="B85" s="90" t="s">
        <v>10</v>
      </c>
      <c r="C85" s="83" t="s">
        <v>202</v>
      </c>
      <c r="D85" s="84"/>
      <c r="E85" s="85"/>
      <c r="F85" s="86"/>
      <c r="G85" s="86"/>
      <c r="H85" s="86"/>
      <c r="I85" s="87"/>
      <c r="J85" s="88"/>
      <c r="K85" s="89"/>
      <c r="L85" s="19"/>
      <c r="M85" s="24"/>
    </row>
    <row r="86" spans="2:13">
      <c r="B86" s="59" t="s">
        <v>204</v>
      </c>
      <c r="C86" s="458" t="s">
        <v>0</v>
      </c>
      <c r="D86" s="458"/>
      <c r="E86" s="458"/>
      <c r="F86" s="458"/>
      <c r="G86" s="458"/>
      <c r="H86" s="458"/>
      <c r="I86" s="458"/>
      <c r="J86" s="458"/>
      <c r="K86" s="458"/>
      <c r="L86" s="19">
        <v>0</v>
      </c>
    </row>
    <row r="87" spans="2:13">
      <c r="B87" s="474" t="s">
        <v>207</v>
      </c>
      <c r="C87" s="475"/>
      <c r="D87" s="475"/>
      <c r="E87" s="475"/>
      <c r="F87" s="475"/>
      <c r="G87" s="475"/>
      <c r="H87" s="475"/>
      <c r="I87" s="475"/>
      <c r="J87" s="476"/>
      <c r="K87" s="101"/>
      <c r="L87" s="102" t="e">
        <f>SUM(L82:L86)</f>
        <v>#REF!</v>
      </c>
    </row>
    <row r="88" spans="2:13">
      <c r="B88" s="25"/>
      <c r="C88" s="25"/>
      <c r="D88" s="25"/>
      <c r="E88" s="25"/>
      <c r="F88" s="25"/>
      <c r="G88" s="25"/>
      <c r="H88" s="25"/>
      <c r="I88" s="37"/>
      <c r="J88" s="25"/>
      <c r="K88" s="25"/>
    </row>
    <row r="89" spans="2:13">
      <c r="B89" s="16"/>
      <c r="C89" s="16"/>
      <c r="D89" s="16"/>
      <c r="E89" s="16"/>
      <c r="F89" s="16"/>
      <c r="G89" s="16"/>
      <c r="H89" s="48"/>
      <c r="I89" s="48"/>
      <c r="J89" s="48"/>
      <c r="K89" s="48"/>
      <c r="L89" s="49"/>
    </row>
    <row r="90" spans="2:13">
      <c r="B90" s="454" t="s">
        <v>205</v>
      </c>
      <c r="C90" s="454"/>
      <c r="D90" s="454"/>
      <c r="E90" s="454"/>
      <c r="F90" s="454"/>
      <c r="G90" s="454"/>
      <c r="H90" s="454"/>
      <c r="I90" s="454"/>
      <c r="J90" s="454"/>
      <c r="K90" s="97"/>
      <c r="L90" s="98" t="str">
        <f>L5</f>
        <v>SERVENTE</v>
      </c>
    </row>
    <row r="91" spans="2:13">
      <c r="B91" s="59" t="s">
        <v>4</v>
      </c>
      <c r="C91" s="421" t="s">
        <v>206</v>
      </c>
      <c r="D91" s="421"/>
      <c r="E91" s="421"/>
      <c r="F91" s="421"/>
      <c r="G91" s="421"/>
      <c r="H91" s="421"/>
      <c r="I91" s="421"/>
      <c r="J91" s="421"/>
      <c r="K91" s="65">
        <v>0.05</v>
      </c>
      <c r="L91" s="28" t="e">
        <f>K91*L110</f>
        <v>#REF!</v>
      </c>
      <c r="M91" s="50"/>
    </row>
    <row r="92" spans="2:13">
      <c r="B92" s="59" t="s">
        <v>6</v>
      </c>
      <c r="C92" s="421" t="s">
        <v>32</v>
      </c>
      <c r="D92" s="421"/>
      <c r="E92" s="421"/>
      <c r="F92" s="421"/>
      <c r="G92" s="421"/>
      <c r="H92" s="421"/>
      <c r="I92" s="421"/>
      <c r="J92" s="421"/>
      <c r="K92" s="65">
        <v>6.8099999999999994E-2</v>
      </c>
      <c r="L92" s="28" t="e">
        <f>K92*L110</f>
        <v>#REF!</v>
      </c>
      <c r="M92" s="50"/>
    </row>
    <row r="93" spans="2:13">
      <c r="B93" s="427" t="s">
        <v>10</v>
      </c>
      <c r="C93" s="435" t="s">
        <v>33</v>
      </c>
      <c r="D93" s="436"/>
      <c r="E93" s="436"/>
      <c r="F93" s="436"/>
      <c r="G93" s="436"/>
      <c r="H93" s="436"/>
      <c r="I93" s="437"/>
      <c r="J93" s="438" t="e">
        <f>L110+L91+L92</f>
        <v>#REF!</v>
      </c>
      <c r="K93" s="439"/>
      <c r="L93" s="47"/>
    </row>
    <row r="94" spans="2:13">
      <c r="B94" s="427"/>
      <c r="C94" s="440" t="s">
        <v>34</v>
      </c>
      <c r="D94" s="441"/>
      <c r="E94" s="441"/>
      <c r="F94" s="442"/>
      <c r="G94" s="40"/>
      <c r="H94" s="40" t="s">
        <v>35</v>
      </c>
      <c r="I94" s="40"/>
      <c r="J94" s="443"/>
      <c r="K94" s="444"/>
      <c r="L94" s="47"/>
    </row>
    <row r="95" spans="2:13">
      <c r="B95" s="427"/>
      <c r="C95" s="434" t="s">
        <v>36</v>
      </c>
      <c r="D95" s="434"/>
      <c r="E95" s="434"/>
      <c r="F95" s="434"/>
      <c r="G95" s="66" t="s">
        <v>37</v>
      </c>
      <c r="H95" s="35">
        <v>1.6500000000000001E-2</v>
      </c>
      <c r="I95" s="445">
        <f>SUM(H95:H100)</f>
        <v>0.13250000000000001</v>
      </c>
      <c r="J95" s="432" t="e">
        <f t="shared" ref="J95:J100" si="2">ROUND($L$112*H95,2)</f>
        <v>#REF!</v>
      </c>
      <c r="K95" s="433"/>
      <c r="L95" s="429" t="e">
        <f>SUM(J95:K100)</f>
        <v>#REF!</v>
      </c>
    </row>
    <row r="96" spans="2:13">
      <c r="B96" s="427"/>
      <c r="C96" s="434"/>
      <c r="D96" s="434"/>
      <c r="E96" s="434"/>
      <c r="F96" s="434"/>
      <c r="G96" s="66" t="s">
        <v>38</v>
      </c>
      <c r="H96" s="35">
        <v>7.5999999999999998E-2</v>
      </c>
      <c r="I96" s="445"/>
      <c r="J96" s="432" t="e">
        <f t="shared" si="2"/>
        <v>#REF!</v>
      </c>
      <c r="K96" s="433"/>
      <c r="L96" s="430"/>
    </row>
    <row r="97" spans="2:12">
      <c r="B97" s="427"/>
      <c r="C97" s="434"/>
      <c r="D97" s="434"/>
      <c r="E97" s="434"/>
      <c r="F97" s="434"/>
      <c r="G97" s="66" t="s">
        <v>39</v>
      </c>
      <c r="H97" s="35">
        <v>0</v>
      </c>
      <c r="I97" s="445"/>
      <c r="J97" s="432" t="e">
        <f t="shared" si="2"/>
        <v>#REF!</v>
      </c>
      <c r="K97" s="433"/>
      <c r="L97" s="430"/>
    </row>
    <row r="98" spans="2:12">
      <c r="B98" s="427"/>
      <c r="C98" s="434" t="s">
        <v>40</v>
      </c>
      <c r="D98" s="434"/>
      <c r="E98" s="434"/>
      <c r="F98" s="434"/>
      <c r="G98" s="67" t="s">
        <v>41</v>
      </c>
      <c r="H98" s="35">
        <v>0.04</v>
      </c>
      <c r="I98" s="445"/>
      <c r="J98" s="432" t="e">
        <f t="shared" si="2"/>
        <v>#REF!</v>
      </c>
      <c r="K98" s="433"/>
      <c r="L98" s="430"/>
    </row>
    <row r="99" spans="2:12">
      <c r="B99" s="427"/>
      <c r="C99" s="434"/>
      <c r="D99" s="434"/>
      <c r="E99" s="434"/>
      <c r="F99" s="434"/>
      <c r="G99" s="67" t="s">
        <v>39</v>
      </c>
      <c r="H99" s="35">
        <v>0</v>
      </c>
      <c r="I99" s="445"/>
      <c r="J99" s="432" t="e">
        <f t="shared" si="2"/>
        <v>#REF!</v>
      </c>
      <c r="K99" s="433"/>
      <c r="L99" s="430"/>
    </row>
    <row r="100" spans="2:12">
      <c r="B100" s="427"/>
      <c r="C100" s="434" t="s">
        <v>42</v>
      </c>
      <c r="D100" s="434"/>
      <c r="E100" s="434"/>
      <c r="F100" s="434"/>
      <c r="G100" s="67"/>
      <c r="H100" s="35">
        <v>0</v>
      </c>
      <c r="I100" s="445"/>
      <c r="J100" s="432" t="e">
        <f t="shared" si="2"/>
        <v>#REF!</v>
      </c>
      <c r="K100" s="433"/>
      <c r="L100" s="431"/>
    </row>
    <row r="101" spans="2:12">
      <c r="B101" s="427" t="s">
        <v>43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60" t="e">
        <f>L95+L92+L91</f>
        <v>#REF!</v>
      </c>
    </row>
    <row r="102" spans="2:12">
      <c r="B102" s="51"/>
      <c r="C102" s="51"/>
      <c r="D102" s="51"/>
      <c r="E102" s="51"/>
      <c r="F102" s="51"/>
      <c r="G102" s="51"/>
      <c r="H102" s="51"/>
      <c r="I102" s="52"/>
      <c r="J102" s="53"/>
      <c r="K102" s="51"/>
    </row>
    <row r="103" spans="2:12">
      <c r="B103" s="428" t="s">
        <v>44</v>
      </c>
      <c r="C103" s="428"/>
      <c r="D103" s="428"/>
      <c r="E103" s="428"/>
      <c r="F103" s="428"/>
      <c r="G103" s="428"/>
      <c r="H103" s="428"/>
      <c r="I103" s="428"/>
      <c r="J103" s="428"/>
      <c r="K103" s="428"/>
      <c r="L103" s="428"/>
    </row>
    <row r="104" spans="2:12">
      <c r="B104" s="422" t="s">
        <v>45</v>
      </c>
      <c r="C104" s="422"/>
      <c r="D104" s="422"/>
      <c r="E104" s="422"/>
      <c r="F104" s="422"/>
      <c r="G104" s="422"/>
      <c r="H104" s="422"/>
      <c r="I104" s="422"/>
      <c r="J104" s="422"/>
      <c r="K104" s="422"/>
      <c r="L104" s="7" t="str">
        <f>L5</f>
        <v>SERVENTE</v>
      </c>
    </row>
    <row r="105" spans="2:12">
      <c r="B105" s="59" t="s">
        <v>4</v>
      </c>
      <c r="C105" s="421" t="str">
        <f>B6</f>
        <v xml:space="preserve">MÓDULO 01 – Composição da Remuneração </v>
      </c>
      <c r="D105" s="421"/>
      <c r="E105" s="421"/>
      <c r="F105" s="421"/>
      <c r="G105" s="421"/>
      <c r="H105" s="421"/>
      <c r="I105" s="421"/>
      <c r="J105" s="421"/>
      <c r="K105" s="421"/>
      <c r="L105" s="54" t="e">
        <f>L17</f>
        <v>#REF!</v>
      </c>
    </row>
    <row r="106" spans="2:12">
      <c r="B106" s="59" t="s">
        <v>6</v>
      </c>
      <c r="C106" s="421" t="str">
        <f>B19</f>
        <v>MÓDULO 2 – ENCARGOS E BENEFÍCIOS ANUAIS, MENSAIS E DIÁRIOS</v>
      </c>
      <c r="D106" s="421"/>
      <c r="E106" s="421"/>
      <c r="F106" s="421"/>
      <c r="G106" s="421"/>
      <c r="H106" s="421"/>
      <c r="I106" s="421"/>
      <c r="J106" s="421"/>
      <c r="K106" s="421"/>
      <c r="L106" s="54" t="e">
        <f>L51</f>
        <v>#REF!</v>
      </c>
    </row>
    <row r="107" spans="2:12">
      <c r="B107" s="59" t="s">
        <v>10</v>
      </c>
      <c r="C107" s="421" t="str">
        <f>B53</f>
        <v>MÓDULO 3 – PROVISÃO PARA RESCISÃO</v>
      </c>
      <c r="D107" s="421"/>
      <c r="E107" s="421"/>
      <c r="F107" s="421"/>
      <c r="G107" s="421"/>
      <c r="H107" s="421"/>
      <c r="I107" s="421"/>
      <c r="J107" s="421"/>
      <c r="K107" s="421"/>
      <c r="L107" s="54" t="e">
        <f>L60</f>
        <v>#REF!</v>
      </c>
    </row>
    <row r="108" spans="2:12">
      <c r="B108" s="59" t="s">
        <v>12</v>
      </c>
      <c r="C108" s="421" t="str">
        <f>B62</f>
        <v>MÓDULO 4 – CUSTO DE REPOSIÇÃO DO PROFISSIONAL AUSENTE</v>
      </c>
      <c r="D108" s="421"/>
      <c r="E108" s="421"/>
      <c r="F108" s="421"/>
      <c r="G108" s="421"/>
      <c r="H108" s="421"/>
      <c r="I108" s="421"/>
      <c r="J108" s="421"/>
      <c r="K108" s="421"/>
      <c r="L108" s="54" t="e">
        <f>L79</f>
        <v>#REF!</v>
      </c>
    </row>
    <row r="109" spans="2:12">
      <c r="B109" s="90" t="s">
        <v>14</v>
      </c>
      <c r="C109" s="421" t="str">
        <f>B81</f>
        <v>MÓDULO 5 – INSUMOS DIVERSOS</v>
      </c>
      <c r="D109" s="421"/>
      <c r="E109" s="421"/>
      <c r="F109" s="421"/>
      <c r="G109" s="421"/>
      <c r="H109" s="421"/>
      <c r="I109" s="421"/>
      <c r="J109" s="421"/>
      <c r="K109" s="421"/>
      <c r="L109" s="54" t="e">
        <f>L87</f>
        <v>#REF!</v>
      </c>
    </row>
    <row r="110" spans="2:12">
      <c r="B110" s="422" t="s">
        <v>209</v>
      </c>
      <c r="C110" s="422"/>
      <c r="D110" s="422"/>
      <c r="E110" s="422"/>
      <c r="F110" s="422"/>
      <c r="G110" s="422"/>
      <c r="H110" s="422"/>
      <c r="I110" s="422"/>
      <c r="J110" s="422"/>
      <c r="K110" s="422"/>
      <c r="L110" s="61" t="e">
        <f>SUM(L105:L109)</f>
        <v>#REF!</v>
      </c>
    </row>
    <row r="111" spans="2:12">
      <c r="B111" s="59" t="s">
        <v>14</v>
      </c>
      <c r="C111" s="421" t="s">
        <v>46</v>
      </c>
      <c r="D111" s="421"/>
      <c r="E111" s="421"/>
      <c r="F111" s="421"/>
      <c r="G111" s="421"/>
      <c r="H111" s="421"/>
      <c r="I111" s="421"/>
      <c r="J111" s="421"/>
      <c r="K111" s="421"/>
      <c r="L111" s="55" t="e">
        <f>L112-L110</f>
        <v>#REF!</v>
      </c>
    </row>
    <row r="112" spans="2:12">
      <c r="B112" s="423" t="s">
        <v>47</v>
      </c>
      <c r="C112" s="423"/>
      <c r="D112" s="423"/>
      <c r="E112" s="423"/>
      <c r="F112" s="423"/>
      <c r="G112" s="423"/>
      <c r="H112" s="423"/>
      <c r="I112" s="423"/>
      <c r="J112" s="423"/>
      <c r="K112" s="423"/>
      <c r="L112" s="62" t="e">
        <f>ROUND(J93/(1-$I$95),2)</f>
        <v>#REF!</v>
      </c>
    </row>
    <row r="113" spans="6:12">
      <c r="K113" s="50"/>
    </row>
    <row r="115" spans="6:12">
      <c r="F115" s="424" t="s">
        <v>48</v>
      </c>
      <c r="G115" s="425"/>
      <c r="H115" s="425"/>
      <c r="I115" s="426"/>
      <c r="J115" s="1"/>
      <c r="L115" s="1"/>
    </row>
    <row r="116" spans="6:12">
      <c r="F116" s="424" t="s">
        <v>49</v>
      </c>
      <c r="G116" s="425"/>
      <c r="H116" s="426"/>
      <c r="I116" s="56" t="s">
        <v>9</v>
      </c>
      <c r="J116" s="1"/>
      <c r="L116" s="1"/>
    </row>
    <row r="117" spans="6:12">
      <c r="F117" s="57" t="s">
        <v>50</v>
      </c>
      <c r="G117" s="57"/>
      <c r="H117" s="58"/>
      <c r="I117" s="58">
        <f>K91</f>
        <v>0.05</v>
      </c>
      <c r="J117" s="1"/>
      <c r="L117" s="1"/>
    </row>
    <row r="118" spans="6:12">
      <c r="F118" s="415" t="s">
        <v>32</v>
      </c>
      <c r="G118" s="416"/>
      <c r="H118" s="417"/>
      <c r="I118" s="58">
        <f>K92</f>
        <v>6.8099999999999994E-2</v>
      </c>
      <c r="J118" s="1"/>
      <c r="L118" s="1"/>
    </row>
    <row r="119" spans="6:12">
      <c r="F119" s="57" t="s">
        <v>51</v>
      </c>
      <c r="G119" s="57"/>
      <c r="H119" s="58"/>
      <c r="I119" s="58">
        <f>I95</f>
        <v>0.13250000000000001</v>
      </c>
      <c r="J119" s="1"/>
      <c r="L119" s="1"/>
    </row>
    <row r="120" spans="6:12">
      <c r="F120" s="418" t="s">
        <v>52</v>
      </c>
      <c r="G120" s="419"/>
      <c r="H120" s="420"/>
      <c r="I120" s="58">
        <f>(1+I117)*(1+I118)/(1-I119)-1</f>
        <v>0.29280115273775253</v>
      </c>
      <c r="J120" s="1"/>
      <c r="L120" s="1"/>
    </row>
  </sheetData>
  <mergeCells count="126">
    <mergeCell ref="B76:K76"/>
    <mergeCell ref="C77:J77"/>
    <mergeCell ref="B79:J79"/>
    <mergeCell ref="B80:L80"/>
    <mergeCell ref="B81:J81"/>
    <mergeCell ref="B90:J90"/>
    <mergeCell ref="B87:J87"/>
    <mergeCell ref="B20:J20"/>
    <mergeCell ref="B23:J23"/>
    <mergeCell ref="C21:J21"/>
    <mergeCell ref="C22:J22"/>
    <mergeCell ref="B25:J25"/>
    <mergeCell ref="B34:J34"/>
    <mergeCell ref="B36:J36"/>
    <mergeCell ref="C37:J37"/>
    <mergeCell ref="C38:J38"/>
    <mergeCell ref="C39:J39"/>
    <mergeCell ref="C40:J40"/>
    <mergeCell ref="C41:J41"/>
    <mergeCell ref="C42:J42"/>
    <mergeCell ref="C43:J43"/>
    <mergeCell ref="B45:J45"/>
    <mergeCell ref="I56:J56"/>
    <mergeCell ref="C28:J28"/>
    <mergeCell ref="C10:I10"/>
    <mergeCell ref="C11:I11"/>
    <mergeCell ref="C12:I12"/>
    <mergeCell ref="C13:I13"/>
    <mergeCell ref="B19:K19"/>
    <mergeCell ref="C14:I14"/>
    <mergeCell ref="C15:K15"/>
    <mergeCell ref="C16:K16"/>
    <mergeCell ref="B17:K17"/>
    <mergeCell ref="B2:L2"/>
    <mergeCell ref="B3:L4"/>
    <mergeCell ref="B6:L6"/>
    <mergeCell ref="C7:K7"/>
    <mergeCell ref="C9:E9"/>
    <mergeCell ref="F9:I9"/>
    <mergeCell ref="C8:K8"/>
    <mergeCell ref="C86:K86"/>
    <mergeCell ref="C26:J26"/>
    <mergeCell ref="C27:J27"/>
    <mergeCell ref="C44:K44"/>
    <mergeCell ref="C82:K82"/>
    <mergeCell ref="C83:D83"/>
    <mergeCell ref="E83:I83"/>
    <mergeCell ref="J83:K83"/>
    <mergeCell ref="B47:K47"/>
    <mergeCell ref="C48:J48"/>
    <mergeCell ref="C49:J49"/>
    <mergeCell ref="C50:J50"/>
    <mergeCell ref="B51:J51"/>
    <mergeCell ref="B60:J60"/>
    <mergeCell ref="C55:H55"/>
    <mergeCell ref="I55:J55"/>
    <mergeCell ref="C56:H56"/>
    <mergeCell ref="B63:J63"/>
    <mergeCell ref="C29:J29"/>
    <mergeCell ref="C30:J30"/>
    <mergeCell ref="C32:F32"/>
    <mergeCell ref="C33:J33"/>
    <mergeCell ref="C31:D31"/>
    <mergeCell ref="E31:F31"/>
    <mergeCell ref="G31:J31"/>
    <mergeCell ref="C57:H57"/>
    <mergeCell ref="I57:J57"/>
    <mergeCell ref="B52:L52"/>
    <mergeCell ref="C91:J91"/>
    <mergeCell ref="C92:J92"/>
    <mergeCell ref="B72:J72"/>
    <mergeCell ref="C73:J73"/>
    <mergeCell ref="C78:J78"/>
    <mergeCell ref="B74:J74"/>
    <mergeCell ref="B62:J62"/>
    <mergeCell ref="C64:J64"/>
    <mergeCell ref="B53:J53"/>
    <mergeCell ref="C54:H54"/>
    <mergeCell ref="C65:F65"/>
    <mergeCell ref="G65:I65"/>
    <mergeCell ref="C66:F66"/>
    <mergeCell ref="G66:H66"/>
    <mergeCell ref="G68:H68"/>
    <mergeCell ref="C69:J69"/>
    <mergeCell ref="C58:H58"/>
    <mergeCell ref="I58:J58"/>
    <mergeCell ref="C59:H59"/>
    <mergeCell ref="I59:J59"/>
    <mergeCell ref="G67:H67"/>
    <mergeCell ref="C67:E67"/>
    <mergeCell ref="C68:E68"/>
    <mergeCell ref="B70:J70"/>
    <mergeCell ref="C100:F100"/>
    <mergeCell ref="J100:K100"/>
    <mergeCell ref="B93:B100"/>
    <mergeCell ref="C93:I93"/>
    <mergeCell ref="J93:K93"/>
    <mergeCell ref="C94:F94"/>
    <mergeCell ref="J94:K94"/>
    <mergeCell ref="C95:F97"/>
    <mergeCell ref="I95:I100"/>
    <mergeCell ref="J95:K95"/>
    <mergeCell ref="C84:D84"/>
    <mergeCell ref="E84:I84"/>
    <mergeCell ref="J84:K84"/>
    <mergeCell ref="F118:H118"/>
    <mergeCell ref="F120:H120"/>
    <mergeCell ref="C108:K108"/>
    <mergeCell ref="B110:K110"/>
    <mergeCell ref="C111:K111"/>
    <mergeCell ref="B112:K112"/>
    <mergeCell ref="F115:I115"/>
    <mergeCell ref="F116:H116"/>
    <mergeCell ref="B101:K101"/>
    <mergeCell ref="B103:L103"/>
    <mergeCell ref="B104:K104"/>
    <mergeCell ref="C105:K105"/>
    <mergeCell ref="C106:K106"/>
    <mergeCell ref="C107:K107"/>
    <mergeCell ref="C109:K109"/>
    <mergeCell ref="L95:L100"/>
    <mergeCell ref="J96:K96"/>
    <mergeCell ref="J97:K97"/>
    <mergeCell ref="C98:F99"/>
    <mergeCell ref="J98:K98"/>
    <mergeCell ref="J99:K99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120"/>
  <sheetViews>
    <sheetView workbookViewId="0">
      <selection activeCell="G85" sqref="G85"/>
    </sheetView>
  </sheetViews>
  <sheetFormatPr defaultColWidth="11.85546875" defaultRowHeight="15"/>
  <cols>
    <col min="1" max="1" width="6.28515625" style="1" customWidth="1"/>
    <col min="2" max="2" width="4.5703125" style="1" customWidth="1"/>
    <col min="3" max="3" width="9" style="1" customWidth="1"/>
    <col min="4" max="4" width="25" style="1" customWidth="1"/>
    <col min="5" max="5" width="4.7109375" style="1" bestFit="1" customWidth="1"/>
    <col min="6" max="6" width="9" style="1" bestFit="1" customWidth="1"/>
    <col min="7" max="7" width="10.42578125" style="1" customWidth="1"/>
    <col min="8" max="8" width="10.7109375" style="1" customWidth="1"/>
    <col min="9" max="9" width="16.7109375" style="32" customWidth="1"/>
    <col min="10" max="10" width="9" style="33" bestFit="1" customWidth="1"/>
    <col min="11" max="11" width="9.140625" style="1" bestFit="1" customWidth="1"/>
    <col min="12" max="12" width="12.7109375" style="18" bestFit="1" customWidth="1"/>
    <col min="13" max="13" width="13.28515625" style="1" bestFit="1" customWidth="1"/>
    <col min="14" max="16384" width="11.85546875" style="1"/>
  </cols>
  <sheetData>
    <row r="2" spans="2:13">
      <c r="B2" s="463" t="s">
        <v>2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</row>
    <row r="3" spans="2:13" s="2" customFormat="1">
      <c r="B3" s="464" t="e">
        <f>#REF!</f>
        <v>#REF!</v>
      </c>
      <c r="C3" s="465"/>
      <c r="D3" s="465"/>
      <c r="E3" s="465"/>
      <c r="F3" s="465"/>
      <c r="G3" s="465"/>
      <c r="H3" s="465"/>
      <c r="I3" s="465"/>
      <c r="J3" s="465"/>
      <c r="K3" s="465"/>
      <c r="L3" s="466"/>
    </row>
    <row r="4" spans="2:13" s="2" customFormat="1">
      <c r="B4" s="467"/>
      <c r="C4" s="468"/>
      <c r="D4" s="468"/>
      <c r="E4" s="468"/>
      <c r="F4" s="468"/>
      <c r="G4" s="468"/>
      <c r="H4" s="468"/>
      <c r="I4" s="468"/>
      <c r="J4" s="468"/>
      <c r="K4" s="468"/>
      <c r="L4" s="469"/>
    </row>
    <row r="5" spans="2:13">
      <c r="B5" s="3"/>
      <c r="C5" s="4"/>
      <c r="D5" s="4"/>
      <c r="E5" s="4"/>
      <c r="F5" s="4"/>
      <c r="G5" s="4"/>
      <c r="H5" s="4"/>
      <c r="I5" s="5"/>
      <c r="J5" s="4"/>
      <c r="K5" s="6"/>
      <c r="L5" s="7" t="s">
        <v>53</v>
      </c>
    </row>
    <row r="6" spans="2:13">
      <c r="B6" s="454" t="s">
        <v>3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</row>
    <row r="7" spans="2:13">
      <c r="B7" s="8" t="s">
        <v>4</v>
      </c>
      <c r="C7" s="421" t="s">
        <v>5</v>
      </c>
      <c r="D7" s="421"/>
      <c r="E7" s="421"/>
      <c r="F7" s="421"/>
      <c r="G7" s="421"/>
      <c r="H7" s="421"/>
      <c r="I7" s="421"/>
      <c r="J7" s="421"/>
      <c r="K7" s="421"/>
      <c r="L7" s="9" t="e">
        <f>#REF!</f>
        <v>#REF!</v>
      </c>
    </row>
    <row r="8" spans="2:13">
      <c r="B8" s="79" t="s">
        <v>154</v>
      </c>
      <c r="C8" s="421" t="s">
        <v>155</v>
      </c>
      <c r="D8" s="421"/>
      <c r="E8" s="421"/>
      <c r="F8" s="421"/>
      <c r="G8" s="421"/>
      <c r="H8" s="421"/>
      <c r="I8" s="421"/>
      <c r="J8" s="421"/>
      <c r="K8" s="421"/>
      <c r="L8" s="9"/>
    </row>
    <row r="9" spans="2:13">
      <c r="B9" s="8" t="s">
        <v>6</v>
      </c>
      <c r="C9" s="421" t="s">
        <v>7</v>
      </c>
      <c r="D9" s="421"/>
      <c r="E9" s="421"/>
      <c r="F9" s="455" t="s">
        <v>8</v>
      </c>
      <c r="G9" s="455"/>
      <c r="H9" s="455"/>
      <c r="I9" s="455"/>
      <c r="J9" s="10" t="s">
        <v>9</v>
      </c>
      <c r="K9" s="11">
        <v>0</v>
      </c>
      <c r="L9" s="12">
        <v>0</v>
      </c>
      <c r="M9" s="13"/>
    </row>
    <row r="10" spans="2:13">
      <c r="B10" s="90" t="s">
        <v>10</v>
      </c>
      <c r="C10" s="448" t="s">
        <v>160</v>
      </c>
      <c r="D10" s="449"/>
      <c r="E10" s="449"/>
      <c r="F10" s="449"/>
      <c r="G10" s="449"/>
      <c r="H10" s="449"/>
      <c r="I10" s="450"/>
      <c r="J10" s="10" t="s">
        <v>9</v>
      </c>
      <c r="K10" s="11">
        <v>0</v>
      </c>
      <c r="L10" s="12">
        <v>0</v>
      </c>
      <c r="M10" s="13"/>
    </row>
    <row r="11" spans="2:13">
      <c r="B11" s="90" t="s">
        <v>12</v>
      </c>
      <c r="C11" s="448" t="s">
        <v>157</v>
      </c>
      <c r="D11" s="449"/>
      <c r="E11" s="449"/>
      <c r="F11" s="449"/>
      <c r="G11" s="449"/>
      <c r="H11" s="449"/>
      <c r="I11" s="450"/>
      <c r="J11" s="10" t="s">
        <v>9</v>
      </c>
      <c r="K11" s="11">
        <v>0</v>
      </c>
      <c r="L11" s="12">
        <v>0</v>
      </c>
      <c r="M11" s="13"/>
    </row>
    <row r="12" spans="2:13">
      <c r="B12" s="90" t="s">
        <v>14</v>
      </c>
      <c r="C12" s="448" t="s">
        <v>158</v>
      </c>
      <c r="D12" s="449"/>
      <c r="E12" s="449"/>
      <c r="F12" s="449"/>
      <c r="G12" s="449"/>
      <c r="H12" s="449"/>
      <c r="I12" s="450"/>
      <c r="J12" s="10" t="s">
        <v>9</v>
      </c>
      <c r="K12" s="11">
        <v>0</v>
      </c>
      <c r="L12" s="12">
        <v>0</v>
      </c>
      <c r="M12" s="13"/>
    </row>
    <row r="13" spans="2:13">
      <c r="B13" s="90" t="s">
        <v>1</v>
      </c>
      <c r="C13" s="448" t="s">
        <v>159</v>
      </c>
      <c r="D13" s="449"/>
      <c r="E13" s="449"/>
      <c r="F13" s="449"/>
      <c r="G13" s="449"/>
      <c r="H13" s="449"/>
      <c r="I13" s="450"/>
      <c r="J13" s="10" t="s">
        <v>9</v>
      </c>
      <c r="K13" s="11">
        <v>0</v>
      </c>
      <c r="L13" s="12">
        <v>0</v>
      </c>
      <c r="M13" s="13"/>
    </row>
    <row r="14" spans="2:13">
      <c r="B14" s="90" t="s">
        <v>15</v>
      </c>
      <c r="C14" s="477" t="s">
        <v>11</v>
      </c>
      <c r="D14" s="477"/>
      <c r="E14" s="477"/>
      <c r="F14" s="477"/>
      <c r="G14" s="477"/>
      <c r="H14" s="477"/>
      <c r="I14" s="477"/>
      <c r="J14" s="10" t="s">
        <v>9</v>
      </c>
      <c r="K14" s="14">
        <v>0</v>
      </c>
      <c r="L14" s="12">
        <v>0</v>
      </c>
      <c r="M14" s="13"/>
    </row>
    <row r="15" spans="2:13">
      <c r="B15" s="90" t="s">
        <v>16</v>
      </c>
      <c r="C15" s="478" t="s">
        <v>13</v>
      </c>
      <c r="D15" s="478"/>
      <c r="E15" s="478"/>
      <c r="F15" s="478"/>
      <c r="G15" s="478"/>
      <c r="H15" s="478"/>
      <c r="I15" s="478"/>
      <c r="J15" s="478"/>
      <c r="K15" s="478"/>
      <c r="L15" s="12">
        <v>0</v>
      </c>
      <c r="M15" s="13"/>
    </row>
    <row r="16" spans="2:13">
      <c r="B16" s="90" t="s">
        <v>156</v>
      </c>
      <c r="C16" s="458" t="s">
        <v>0</v>
      </c>
      <c r="D16" s="458"/>
      <c r="E16" s="458"/>
      <c r="F16" s="458"/>
      <c r="G16" s="458"/>
      <c r="H16" s="458"/>
      <c r="I16" s="458"/>
      <c r="J16" s="458"/>
      <c r="K16" s="458"/>
      <c r="L16" s="12"/>
      <c r="M16" s="13"/>
    </row>
    <row r="17" spans="2:13">
      <c r="B17" s="479" t="s">
        <v>208</v>
      </c>
      <c r="C17" s="479"/>
      <c r="D17" s="479"/>
      <c r="E17" s="479"/>
      <c r="F17" s="479"/>
      <c r="G17" s="479"/>
      <c r="H17" s="479"/>
      <c r="I17" s="479"/>
      <c r="J17" s="479"/>
      <c r="K17" s="479"/>
      <c r="L17" s="100" t="e">
        <f>SUM(L7:L16)</f>
        <v>#REF!</v>
      </c>
      <c r="M17" s="15"/>
    </row>
    <row r="18" spans="2:13">
      <c r="B18" s="16"/>
      <c r="C18" s="16"/>
      <c r="D18" s="16"/>
      <c r="E18" s="16"/>
      <c r="F18" s="16"/>
      <c r="G18" s="16"/>
      <c r="H18" s="16"/>
      <c r="I18" s="17"/>
      <c r="J18" s="16"/>
      <c r="K18" s="16"/>
    </row>
    <row r="19" spans="2:13">
      <c r="B19" s="454" t="s">
        <v>161</v>
      </c>
      <c r="C19" s="454"/>
      <c r="D19" s="454"/>
      <c r="E19" s="454"/>
      <c r="F19" s="454"/>
      <c r="G19" s="454"/>
      <c r="H19" s="454"/>
      <c r="I19" s="454"/>
      <c r="J19" s="454"/>
      <c r="K19" s="454"/>
      <c r="L19" s="7" t="str">
        <f>L5</f>
        <v>SERVENTE</v>
      </c>
    </row>
    <row r="20" spans="2:13">
      <c r="B20" s="446" t="s">
        <v>162</v>
      </c>
      <c r="C20" s="447"/>
      <c r="D20" s="447"/>
      <c r="E20" s="447"/>
      <c r="F20" s="447"/>
      <c r="G20" s="447"/>
      <c r="H20" s="447"/>
      <c r="I20" s="447"/>
      <c r="J20" s="447"/>
      <c r="K20" s="92" t="s">
        <v>9</v>
      </c>
      <c r="L20" s="12" t="s">
        <v>166</v>
      </c>
    </row>
    <row r="21" spans="2:13">
      <c r="B21" s="90" t="s">
        <v>4</v>
      </c>
      <c r="C21" s="448" t="s">
        <v>163</v>
      </c>
      <c r="D21" s="449"/>
      <c r="E21" s="449"/>
      <c r="F21" s="449"/>
      <c r="G21" s="449"/>
      <c r="H21" s="449"/>
      <c r="I21" s="449"/>
      <c r="J21" s="450"/>
      <c r="K21" s="34">
        <v>8.3299999999999999E-2</v>
      </c>
      <c r="L21" s="12" t="e">
        <f>K21*L17</f>
        <v>#REF!</v>
      </c>
    </row>
    <row r="22" spans="2:13">
      <c r="B22" s="90" t="s">
        <v>6</v>
      </c>
      <c r="C22" s="448" t="s">
        <v>164</v>
      </c>
      <c r="D22" s="449"/>
      <c r="E22" s="449"/>
      <c r="F22" s="449"/>
      <c r="G22" s="449"/>
      <c r="H22" s="449"/>
      <c r="I22" s="449"/>
      <c r="J22" s="450"/>
      <c r="K22" s="34">
        <v>2.7799999999999998E-2</v>
      </c>
      <c r="L22" s="12" t="e">
        <f>K22*L17</f>
        <v>#REF!</v>
      </c>
    </row>
    <row r="23" spans="2:13">
      <c r="B23" s="451" t="s">
        <v>165</v>
      </c>
      <c r="C23" s="452"/>
      <c r="D23" s="452"/>
      <c r="E23" s="452"/>
      <c r="F23" s="452"/>
      <c r="G23" s="452"/>
      <c r="H23" s="452"/>
      <c r="I23" s="452"/>
      <c r="J23" s="453"/>
      <c r="K23" s="34">
        <f>SUM(K21:K22)</f>
        <v>0.1111</v>
      </c>
      <c r="L23" s="12" t="e">
        <f>SUM(L21:L22)</f>
        <v>#REF!</v>
      </c>
    </row>
    <row r="24" spans="2:13">
      <c r="B24" s="93"/>
      <c r="C24" s="94"/>
      <c r="D24" s="94"/>
      <c r="E24" s="94"/>
      <c r="F24" s="94"/>
      <c r="G24" s="94"/>
      <c r="H24" s="94"/>
      <c r="I24" s="94"/>
      <c r="J24" s="95"/>
      <c r="K24" s="34"/>
      <c r="L24" s="12"/>
    </row>
    <row r="25" spans="2:13">
      <c r="B25" s="446" t="s">
        <v>167</v>
      </c>
      <c r="C25" s="447"/>
      <c r="D25" s="447"/>
      <c r="E25" s="447"/>
      <c r="F25" s="447"/>
      <c r="G25" s="447"/>
      <c r="H25" s="447"/>
      <c r="I25" s="447"/>
      <c r="J25" s="447"/>
      <c r="K25" s="92" t="s">
        <v>9</v>
      </c>
      <c r="L25" s="12" t="s">
        <v>166</v>
      </c>
    </row>
    <row r="26" spans="2:13">
      <c r="B26" s="74" t="s">
        <v>4</v>
      </c>
      <c r="C26" s="455" t="s">
        <v>17</v>
      </c>
      <c r="D26" s="455"/>
      <c r="E26" s="455"/>
      <c r="F26" s="455"/>
      <c r="G26" s="455"/>
      <c r="H26" s="455"/>
      <c r="I26" s="455"/>
      <c r="J26" s="455"/>
      <c r="K26" s="27">
        <v>0.2</v>
      </c>
      <c r="L26" s="28" t="e">
        <f>ROUND($K$26*L17,2)</f>
        <v>#REF!</v>
      </c>
    </row>
    <row r="27" spans="2:13">
      <c r="B27" s="74" t="s">
        <v>6</v>
      </c>
      <c r="C27" s="455" t="s">
        <v>18</v>
      </c>
      <c r="D27" s="455"/>
      <c r="E27" s="455"/>
      <c r="F27" s="455"/>
      <c r="G27" s="455"/>
      <c r="H27" s="455"/>
      <c r="I27" s="455"/>
      <c r="J27" s="455"/>
      <c r="K27" s="27">
        <v>1.4999999999999999E-2</v>
      </c>
      <c r="L27" s="28" t="e">
        <f>ROUND($K$27*L17,2)</f>
        <v>#REF!</v>
      </c>
    </row>
    <row r="28" spans="2:13">
      <c r="B28" s="74" t="s">
        <v>10</v>
      </c>
      <c r="C28" s="455" t="s">
        <v>19</v>
      </c>
      <c r="D28" s="455"/>
      <c r="E28" s="455"/>
      <c r="F28" s="455"/>
      <c r="G28" s="455"/>
      <c r="H28" s="455"/>
      <c r="I28" s="455"/>
      <c r="J28" s="455"/>
      <c r="K28" s="27">
        <v>0.01</v>
      </c>
      <c r="L28" s="28" t="e">
        <f>ROUND(K28*$L$17,2)</f>
        <v>#REF!</v>
      </c>
    </row>
    <row r="29" spans="2:13">
      <c r="B29" s="74" t="s">
        <v>12</v>
      </c>
      <c r="C29" s="455" t="s">
        <v>20</v>
      </c>
      <c r="D29" s="455"/>
      <c r="E29" s="455"/>
      <c r="F29" s="455"/>
      <c r="G29" s="455"/>
      <c r="H29" s="455"/>
      <c r="I29" s="455"/>
      <c r="J29" s="455"/>
      <c r="K29" s="27">
        <v>2E-3</v>
      </c>
      <c r="L29" s="28" t="e">
        <f>ROUND(K29*$L$17,2)</f>
        <v>#REF!</v>
      </c>
    </row>
    <row r="30" spans="2:13">
      <c r="B30" s="74" t="s">
        <v>14</v>
      </c>
      <c r="C30" s="455" t="s">
        <v>21</v>
      </c>
      <c r="D30" s="455"/>
      <c r="E30" s="455"/>
      <c r="F30" s="455"/>
      <c r="G30" s="455"/>
      <c r="H30" s="455"/>
      <c r="I30" s="455"/>
      <c r="J30" s="455"/>
      <c r="K30" s="27">
        <v>2.5000000000000001E-2</v>
      </c>
      <c r="L30" s="28" t="e">
        <f>ROUND(K30*$L$17,2)</f>
        <v>#REF!</v>
      </c>
      <c r="M30" s="29"/>
    </row>
    <row r="31" spans="2:13">
      <c r="B31" s="74" t="s">
        <v>1</v>
      </c>
      <c r="C31" s="448" t="s">
        <v>153</v>
      </c>
      <c r="D31" s="450"/>
      <c r="E31" s="459">
        <v>0.08</v>
      </c>
      <c r="F31" s="460"/>
      <c r="G31" s="448" t="s">
        <v>152</v>
      </c>
      <c r="H31" s="449"/>
      <c r="I31" s="449"/>
      <c r="J31" s="450"/>
      <c r="K31" s="27">
        <f>E31*(1+(1/12)+(1/12/3))</f>
        <v>8.8888888888888878E-2</v>
      </c>
      <c r="L31" s="28" t="e">
        <f>ROUND(K31*($L$17+(1/3/12*L17)+(1/12*L17)),2)</f>
        <v>#REF!</v>
      </c>
      <c r="M31" s="1" t="s">
        <v>168</v>
      </c>
    </row>
    <row r="32" spans="2:13">
      <c r="B32" s="74" t="s">
        <v>15</v>
      </c>
      <c r="C32" s="455" t="s">
        <v>22</v>
      </c>
      <c r="D32" s="455"/>
      <c r="E32" s="455"/>
      <c r="F32" s="455"/>
      <c r="G32" s="73" t="s">
        <v>23</v>
      </c>
      <c r="H32" s="30">
        <v>0.03</v>
      </c>
      <c r="I32" s="73" t="s">
        <v>24</v>
      </c>
      <c r="J32" s="63">
        <v>1</v>
      </c>
      <c r="K32" s="31">
        <f>H32*J32</f>
        <v>0.03</v>
      </c>
      <c r="L32" s="28" t="e">
        <f>ROUND(K32*$L$17,2)</f>
        <v>#REF!</v>
      </c>
    </row>
    <row r="33" spans="2:20">
      <c r="B33" s="74" t="s">
        <v>16</v>
      </c>
      <c r="C33" s="455" t="s">
        <v>25</v>
      </c>
      <c r="D33" s="455"/>
      <c r="E33" s="455"/>
      <c r="F33" s="455"/>
      <c r="G33" s="455"/>
      <c r="H33" s="455"/>
      <c r="I33" s="455"/>
      <c r="J33" s="455"/>
      <c r="K33" s="27">
        <v>6.0000000000000001E-3</v>
      </c>
      <c r="L33" s="28" t="e">
        <f>ROUND(K33*$L$17,2)</f>
        <v>#REF!</v>
      </c>
      <c r="M33" s="2"/>
      <c r="N33" s="2"/>
      <c r="O33" s="2"/>
      <c r="P33" s="2"/>
      <c r="Q33" s="2"/>
      <c r="R33" s="2"/>
      <c r="S33" s="2"/>
      <c r="T33" s="2"/>
    </row>
    <row r="34" spans="2:20">
      <c r="B34" s="451" t="s">
        <v>169</v>
      </c>
      <c r="C34" s="452"/>
      <c r="D34" s="452"/>
      <c r="E34" s="452"/>
      <c r="F34" s="452"/>
      <c r="G34" s="452"/>
      <c r="H34" s="452"/>
      <c r="I34" s="452"/>
      <c r="J34" s="453"/>
      <c r="K34" s="34">
        <f>SUM(K26:K33)</f>
        <v>0.37688888888888894</v>
      </c>
      <c r="L34" s="12" t="e">
        <f>SUM(L26:L33)</f>
        <v>#REF!</v>
      </c>
      <c r="M34" s="2"/>
      <c r="N34" s="2"/>
      <c r="O34" s="2"/>
      <c r="P34" s="2"/>
      <c r="Q34" s="2"/>
      <c r="R34" s="2"/>
      <c r="S34" s="2"/>
      <c r="T34" s="2"/>
    </row>
    <row r="35" spans="2:20">
      <c r="B35" s="93"/>
      <c r="C35" s="94"/>
      <c r="D35" s="94"/>
      <c r="E35" s="94"/>
      <c r="F35" s="94"/>
      <c r="G35" s="94"/>
      <c r="H35" s="94"/>
      <c r="I35" s="94"/>
      <c r="J35" s="95"/>
      <c r="K35" s="34"/>
      <c r="L35" s="12"/>
      <c r="M35" s="2"/>
      <c r="N35" s="2"/>
      <c r="O35" s="2"/>
      <c r="P35" s="2"/>
      <c r="Q35" s="2"/>
      <c r="R35" s="2"/>
      <c r="S35" s="2"/>
      <c r="T35" s="2"/>
    </row>
    <row r="36" spans="2:20">
      <c r="B36" s="446" t="s">
        <v>170</v>
      </c>
      <c r="C36" s="447"/>
      <c r="D36" s="447"/>
      <c r="E36" s="447"/>
      <c r="F36" s="447"/>
      <c r="G36" s="447"/>
      <c r="H36" s="447"/>
      <c r="I36" s="447"/>
      <c r="J36" s="447"/>
      <c r="K36" s="92"/>
      <c r="L36" s="12" t="s">
        <v>166</v>
      </c>
    </row>
    <row r="37" spans="2:20">
      <c r="B37" s="8" t="s">
        <v>4</v>
      </c>
      <c r="C37" s="448" t="e">
        <f>#REF!</f>
        <v>#REF!</v>
      </c>
      <c r="D37" s="449"/>
      <c r="E37" s="449"/>
      <c r="F37" s="449"/>
      <c r="G37" s="449"/>
      <c r="H37" s="449"/>
      <c r="I37" s="449"/>
      <c r="J37" s="450"/>
      <c r="K37" s="80"/>
      <c r="L37" s="12" t="e">
        <f>#REF!</f>
        <v>#REF!</v>
      </c>
    </row>
    <row r="38" spans="2:20">
      <c r="B38" s="8" t="s">
        <v>6</v>
      </c>
      <c r="C38" s="448" t="e">
        <f>#REF!</f>
        <v>#REF!</v>
      </c>
      <c r="D38" s="449"/>
      <c r="E38" s="449"/>
      <c r="F38" s="449"/>
      <c r="G38" s="449"/>
      <c r="H38" s="449"/>
      <c r="I38" s="449"/>
      <c r="J38" s="450"/>
      <c r="K38" s="80"/>
      <c r="L38" s="12" t="e">
        <f>#REF!</f>
        <v>#REF!</v>
      </c>
    </row>
    <row r="39" spans="2:20">
      <c r="B39" s="8" t="s">
        <v>10</v>
      </c>
      <c r="C39" s="448" t="e">
        <f>#REF!</f>
        <v>#REF!</v>
      </c>
      <c r="D39" s="449"/>
      <c r="E39" s="449"/>
      <c r="F39" s="449"/>
      <c r="G39" s="449"/>
      <c r="H39" s="449"/>
      <c r="I39" s="449"/>
      <c r="J39" s="450"/>
      <c r="K39" s="80"/>
      <c r="L39" s="12" t="e">
        <f>#REF!</f>
        <v>#REF!</v>
      </c>
    </row>
    <row r="40" spans="2:20">
      <c r="B40" s="79" t="s">
        <v>12</v>
      </c>
      <c r="C40" s="448" t="e">
        <f>#REF!</f>
        <v>#REF!</v>
      </c>
      <c r="D40" s="449"/>
      <c r="E40" s="449"/>
      <c r="F40" s="449"/>
      <c r="G40" s="449"/>
      <c r="H40" s="449"/>
      <c r="I40" s="449"/>
      <c r="J40" s="450"/>
      <c r="K40" s="80"/>
      <c r="L40" s="12" t="e">
        <f>#REF!</f>
        <v>#REF!</v>
      </c>
    </row>
    <row r="41" spans="2:20">
      <c r="B41" s="79" t="s">
        <v>14</v>
      </c>
      <c r="C41" s="448" t="e">
        <f>#REF!</f>
        <v>#REF!</v>
      </c>
      <c r="D41" s="449"/>
      <c r="E41" s="449"/>
      <c r="F41" s="449"/>
      <c r="G41" s="449"/>
      <c r="H41" s="449"/>
      <c r="I41" s="449"/>
      <c r="J41" s="450"/>
      <c r="K41" s="81"/>
      <c r="L41" s="12" t="e">
        <f>#REF!</f>
        <v>#REF!</v>
      </c>
    </row>
    <row r="42" spans="2:20">
      <c r="B42" s="79" t="s">
        <v>1</v>
      </c>
      <c r="C42" s="448" t="e">
        <f>#REF!</f>
        <v>#REF!</v>
      </c>
      <c r="D42" s="449"/>
      <c r="E42" s="449"/>
      <c r="F42" s="449"/>
      <c r="G42" s="449"/>
      <c r="H42" s="449"/>
      <c r="I42" s="449"/>
      <c r="J42" s="450"/>
      <c r="K42" s="82"/>
      <c r="L42" s="12" t="e">
        <f>#REF!</f>
        <v>#REF!</v>
      </c>
    </row>
    <row r="43" spans="2:20">
      <c r="B43" s="79" t="s">
        <v>15</v>
      </c>
      <c r="C43" s="448" t="e">
        <f>#REF!</f>
        <v>#REF!</v>
      </c>
      <c r="D43" s="449"/>
      <c r="E43" s="449"/>
      <c r="F43" s="449"/>
      <c r="G43" s="449"/>
      <c r="H43" s="449"/>
      <c r="I43" s="449"/>
      <c r="J43" s="450"/>
      <c r="K43" s="82"/>
      <c r="L43" s="12" t="e">
        <f>#REF!</f>
        <v>#REF!</v>
      </c>
    </row>
    <row r="44" spans="2:20">
      <c r="B44" s="79" t="s">
        <v>16</v>
      </c>
      <c r="C44" s="458" t="s">
        <v>0</v>
      </c>
      <c r="D44" s="458"/>
      <c r="E44" s="458"/>
      <c r="F44" s="458"/>
      <c r="G44" s="458"/>
      <c r="H44" s="458"/>
      <c r="I44" s="458"/>
      <c r="J44" s="458"/>
      <c r="K44" s="458"/>
      <c r="L44" s="19">
        <v>0</v>
      </c>
    </row>
    <row r="45" spans="2:20">
      <c r="B45" s="451" t="s">
        <v>172</v>
      </c>
      <c r="C45" s="452"/>
      <c r="D45" s="452"/>
      <c r="E45" s="452"/>
      <c r="F45" s="452"/>
      <c r="G45" s="452"/>
      <c r="H45" s="452"/>
      <c r="I45" s="452"/>
      <c r="J45" s="453"/>
      <c r="K45" s="34"/>
      <c r="L45" s="12" t="e">
        <f>SUM(L37:L44)</f>
        <v>#REF!</v>
      </c>
    </row>
    <row r="46" spans="2:20">
      <c r="B46" s="93"/>
      <c r="C46" s="94"/>
      <c r="D46" s="94"/>
      <c r="E46" s="94"/>
      <c r="F46" s="94"/>
      <c r="G46" s="94"/>
      <c r="H46" s="94"/>
      <c r="I46" s="94"/>
      <c r="J46" s="95"/>
      <c r="K46" s="34"/>
      <c r="L46" s="12"/>
    </row>
    <row r="47" spans="2:20">
      <c r="B47" s="473" t="s">
        <v>173</v>
      </c>
      <c r="C47" s="473"/>
      <c r="D47" s="473"/>
      <c r="E47" s="473"/>
      <c r="F47" s="473"/>
      <c r="G47" s="473"/>
      <c r="H47" s="473"/>
      <c r="I47" s="473"/>
      <c r="J47" s="473"/>
      <c r="K47" s="473"/>
      <c r="L47" s="7" t="str">
        <f>L5</f>
        <v>SERVENTE</v>
      </c>
    </row>
    <row r="48" spans="2:20">
      <c r="B48" s="90" t="s">
        <v>174</v>
      </c>
      <c r="C48" s="448" t="s">
        <v>177</v>
      </c>
      <c r="D48" s="449"/>
      <c r="E48" s="449"/>
      <c r="F48" s="449"/>
      <c r="G48" s="449"/>
      <c r="H48" s="449"/>
      <c r="I48" s="449"/>
      <c r="J48" s="450"/>
      <c r="K48" s="80"/>
      <c r="L48" s="12" t="e">
        <f>L23</f>
        <v>#REF!</v>
      </c>
    </row>
    <row r="49" spans="2:12">
      <c r="B49" s="90" t="s">
        <v>175</v>
      </c>
      <c r="C49" s="448" t="s">
        <v>178</v>
      </c>
      <c r="D49" s="449"/>
      <c r="E49" s="449"/>
      <c r="F49" s="449"/>
      <c r="G49" s="449"/>
      <c r="H49" s="449"/>
      <c r="I49" s="449"/>
      <c r="J49" s="450"/>
      <c r="K49" s="80"/>
      <c r="L49" s="12" t="e">
        <f>L34</f>
        <v>#REF!</v>
      </c>
    </row>
    <row r="50" spans="2:12">
      <c r="B50" s="90" t="s">
        <v>176</v>
      </c>
      <c r="C50" s="448" t="s">
        <v>180</v>
      </c>
      <c r="D50" s="449"/>
      <c r="E50" s="449"/>
      <c r="F50" s="449"/>
      <c r="G50" s="449"/>
      <c r="H50" s="449"/>
      <c r="I50" s="449"/>
      <c r="J50" s="450"/>
      <c r="K50" s="80"/>
      <c r="L50" s="12" t="e">
        <f>L45</f>
        <v>#REF!</v>
      </c>
    </row>
    <row r="51" spans="2:12">
      <c r="B51" s="474" t="s">
        <v>179</v>
      </c>
      <c r="C51" s="475"/>
      <c r="D51" s="475"/>
      <c r="E51" s="475"/>
      <c r="F51" s="475"/>
      <c r="G51" s="475"/>
      <c r="H51" s="475"/>
      <c r="I51" s="475"/>
      <c r="J51" s="476"/>
      <c r="K51" s="101"/>
      <c r="L51" s="102" t="e">
        <f>SUM(L48:L50)</f>
        <v>#REF!</v>
      </c>
    </row>
    <row r="52" spans="2:12">
      <c r="B52" s="461"/>
      <c r="C52" s="462"/>
      <c r="D52" s="462"/>
      <c r="E52" s="462"/>
      <c r="F52" s="462"/>
      <c r="G52" s="462"/>
      <c r="H52" s="462"/>
      <c r="I52" s="462"/>
      <c r="J52" s="462"/>
      <c r="K52" s="462"/>
      <c r="L52" s="462"/>
    </row>
    <row r="53" spans="2:12">
      <c r="B53" s="454" t="s">
        <v>171</v>
      </c>
      <c r="C53" s="454"/>
      <c r="D53" s="454"/>
      <c r="E53" s="454"/>
      <c r="F53" s="454"/>
      <c r="G53" s="454"/>
      <c r="H53" s="454"/>
      <c r="I53" s="454"/>
      <c r="J53" s="454"/>
      <c r="K53" s="97" t="s">
        <v>9</v>
      </c>
      <c r="L53" s="98" t="s">
        <v>166</v>
      </c>
    </row>
    <row r="54" spans="2:12">
      <c r="B54" s="8" t="s">
        <v>4</v>
      </c>
      <c r="C54" s="455" t="s">
        <v>26</v>
      </c>
      <c r="D54" s="455"/>
      <c r="E54" s="455"/>
      <c r="F54" s="455"/>
      <c r="G54" s="455"/>
      <c r="H54" s="455"/>
      <c r="I54" s="38">
        <v>30</v>
      </c>
      <c r="J54" s="39">
        <v>0.05</v>
      </c>
      <c r="K54" s="34">
        <f>I54/30/12*J54</f>
        <v>4.1666666666666666E-3</v>
      </c>
      <c r="L54" s="12" t="e">
        <f t="shared" ref="L54:L59" si="0">ROUND(K54*$L$17,2)</f>
        <v>#REF!</v>
      </c>
    </row>
    <row r="55" spans="2:12">
      <c r="B55" s="8" t="s">
        <v>6</v>
      </c>
      <c r="C55" s="455" t="s">
        <v>27</v>
      </c>
      <c r="D55" s="455"/>
      <c r="E55" s="455"/>
      <c r="F55" s="455"/>
      <c r="G55" s="455"/>
      <c r="H55" s="455"/>
      <c r="I55" s="455"/>
      <c r="J55" s="455"/>
      <c r="K55" s="34">
        <f>K31*K54</f>
        <v>3.703703703703703E-4</v>
      </c>
      <c r="L55" s="12" t="e">
        <f t="shared" si="0"/>
        <v>#REF!</v>
      </c>
    </row>
    <row r="56" spans="2:12">
      <c r="B56" s="90" t="s">
        <v>10</v>
      </c>
      <c r="C56" s="455" t="s">
        <v>182</v>
      </c>
      <c r="D56" s="455"/>
      <c r="E56" s="455"/>
      <c r="F56" s="455"/>
      <c r="G56" s="455"/>
      <c r="H56" s="455"/>
      <c r="I56" s="455"/>
      <c r="J56" s="455"/>
      <c r="K56" s="34">
        <f>0.5*K55</f>
        <v>1.8518518518518515E-4</v>
      </c>
      <c r="L56" s="12" t="e">
        <f t="shared" si="0"/>
        <v>#REF!</v>
      </c>
    </row>
    <row r="57" spans="2:12">
      <c r="B57" s="90" t="s">
        <v>12</v>
      </c>
      <c r="C57" s="455" t="s">
        <v>184</v>
      </c>
      <c r="D57" s="455"/>
      <c r="E57" s="455"/>
      <c r="F57" s="455"/>
      <c r="G57" s="455"/>
      <c r="H57" s="455"/>
      <c r="I57" s="455"/>
      <c r="J57" s="455"/>
      <c r="K57" s="34">
        <v>4.0000000000000002E-4</v>
      </c>
      <c r="L57" s="12" t="e">
        <f t="shared" si="0"/>
        <v>#REF!</v>
      </c>
    </row>
    <row r="58" spans="2:12">
      <c r="B58" s="90" t="s">
        <v>14</v>
      </c>
      <c r="C58" s="455" t="s">
        <v>183</v>
      </c>
      <c r="D58" s="455"/>
      <c r="E58" s="455"/>
      <c r="F58" s="455"/>
      <c r="G58" s="455"/>
      <c r="H58" s="455"/>
      <c r="I58" s="455"/>
      <c r="J58" s="455"/>
      <c r="K58" s="34">
        <f>K34*K57</f>
        <v>1.5075555555555558E-4</v>
      </c>
      <c r="L58" s="12" t="e">
        <f t="shared" si="0"/>
        <v>#REF!</v>
      </c>
    </row>
    <row r="59" spans="2:12">
      <c r="B59" s="90" t="s">
        <v>1</v>
      </c>
      <c r="C59" s="455" t="s">
        <v>185</v>
      </c>
      <c r="D59" s="455"/>
      <c r="E59" s="455"/>
      <c r="F59" s="455"/>
      <c r="G59" s="455"/>
      <c r="H59" s="455"/>
      <c r="I59" s="455"/>
      <c r="J59" s="455"/>
      <c r="K59" s="96">
        <f>0.5*0.08*K57</f>
        <v>1.6000000000000003E-5</v>
      </c>
      <c r="L59" s="12" t="e">
        <f t="shared" si="0"/>
        <v>#REF!</v>
      </c>
    </row>
    <row r="60" spans="2:12" ht="15" customHeight="1">
      <c r="B60" s="474" t="s">
        <v>181</v>
      </c>
      <c r="C60" s="475"/>
      <c r="D60" s="475"/>
      <c r="E60" s="475"/>
      <c r="F60" s="475"/>
      <c r="G60" s="475"/>
      <c r="H60" s="475"/>
      <c r="I60" s="475"/>
      <c r="J60" s="476"/>
      <c r="K60" s="101"/>
      <c r="L60" s="102" t="e">
        <f>SUM(L54:L59)</f>
        <v>#REF!</v>
      </c>
    </row>
    <row r="61" spans="2:12">
      <c r="B61" s="20"/>
      <c r="C61" s="16"/>
      <c r="D61" s="16"/>
      <c r="E61" s="20"/>
      <c r="F61" s="20"/>
      <c r="G61" s="20"/>
      <c r="H61" s="20"/>
      <c r="I61" s="21"/>
      <c r="J61" s="22"/>
      <c r="K61" s="20"/>
    </row>
    <row r="62" spans="2:12">
      <c r="B62" s="454" t="s">
        <v>186</v>
      </c>
      <c r="C62" s="454"/>
      <c r="D62" s="454"/>
      <c r="E62" s="454"/>
      <c r="F62" s="454"/>
      <c r="G62" s="454"/>
      <c r="H62" s="454"/>
      <c r="I62" s="454"/>
      <c r="J62" s="454"/>
      <c r="K62" s="97"/>
      <c r="L62" s="98"/>
    </row>
    <row r="63" spans="2:12">
      <c r="B63" s="446" t="s">
        <v>191</v>
      </c>
      <c r="C63" s="447"/>
      <c r="D63" s="447"/>
      <c r="E63" s="447"/>
      <c r="F63" s="447"/>
      <c r="G63" s="447"/>
      <c r="H63" s="447"/>
      <c r="I63" s="447"/>
      <c r="J63" s="447"/>
      <c r="K63" s="92" t="s">
        <v>9</v>
      </c>
      <c r="L63" s="12" t="s">
        <v>166</v>
      </c>
    </row>
    <row r="64" spans="2:12">
      <c r="B64" s="8" t="s">
        <v>4</v>
      </c>
      <c r="C64" s="421" t="s">
        <v>187</v>
      </c>
      <c r="D64" s="421"/>
      <c r="E64" s="421"/>
      <c r="F64" s="421"/>
      <c r="G64" s="421"/>
      <c r="H64" s="421"/>
      <c r="I64" s="421"/>
      <c r="J64" s="421"/>
      <c r="K64" s="41">
        <f>1/12</f>
        <v>8.3333333333333329E-2</v>
      </c>
      <c r="L64" s="12" t="e">
        <f t="shared" ref="L64:L69" si="1">K64*$L$17</f>
        <v>#REF!</v>
      </c>
    </row>
    <row r="65" spans="2:13">
      <c r="B65" s="8" t="s">
        <v>6</v>
      </c>
      <c r="C65" s="455" t="s">
        <v>188</v>
      </c>
      <c r="D65" s="455"/>
      <c r="E65" s="455"/>
      <c r="F65" s="455"/>
      <c r="G65" s="456" t="s">
        <v>29</v>
      </c>
      <c r="H65" s="456"/>
      <c r="I65" s="456"/>
      <c r="J65" s="42">
        <v>3</v>
      </c>
      <c r="K65" s="41">
        <f>J65/30/12</f>
        <v>8.3333333333333332E-3</v>
      </c>
      <c r="L65" s="12" t="e">
        <f t="shared" si="1"/>
        <v>#REF!</v>
      </c>
      <c r="M65" s="1" t="s">
        <v>168</v>
      </c>
    </row>
    <row r="66" spans="2:13">
      <c r="B66" s="8" t="s">
        <v>10</v>
      </c>
      <c r="C66" s="455" t="s">
        <v>30</v>
      </c>
      <c r="D66" s="455"/>
      <c r="E66" s="455"/>
      <c r="F66" s="455"/>
      <c r="G66" s="456" t="s">
        <v>28</v>
      </c>
      <c r="H66" s="456"/>
      <c r="I66" s="36">
        <v>1.4999999999999999E-2</v>
      </c>
      <c r="J66" s="43">
        <v>5</v>
      </c>
      <c r="K66" s="41">
        <f>J66/30/12*I66</f>
        <v>2.0833333333333332E-4</v>
      </c>
      <c r="L66" s="12" t="e">
        <f t="shared" si="1"/>
        <v>#REF!</v>
      </c>
    </row>
    <row r="67" spans="2:13">
      <c r="B67" s="8" t="s">
        <v>12</v>
      </c>
      <c r="C67" s="456" t="s">
        <v>189</v>
      </c>
      <c r="D67" s="456"/>
      <c r="E67" s="456"/>
      <c r="F67" s="42"/>
      <c r="G67" s="456" t="s">
        <v>28</v>
      </c>
      <c r="H67" s="456"/>
      <c r="I67" s="36">
        <v>7.7999999999999996E-3</v>
      </c>
      <c r="J67" s="44">
        <v>15</v>
      </c>
      <c r="K67" s="41">
        <f>J67/30/12*I67</f>
        <v>3.2499999999999999E-4</v>
      </c>
      <c r="L67" s="12" t="e">
        <f t="shared" si="1"/>
        <v>#REF!</v>
      </c>
    </row>
    <row r="68" spans="2:13">
      <c r="B68" s="8" t="s">
        <v>14</v>
      </c>
      <c r="C68" s="456" t="s">
        <v>190</v>
      </c>
      <c r="D68" s="456"/>
      <c r="E68" s="456"/>
      <c r="F68" s="42"/>
      <c r="G68" s="457"/>
      <c r="H68" s="456"/>
      <c r="I68" s="36"/>
      <c r="J68" s="44"/>
      <c r="K68" s="41">
        <v>6.1000000000000004E-3</v>
      </c>
      <c r="L68" s="12" t="e">
        <f t="shared" si="1"/>
        <v>#REF!</v>
      </c>
      <c r="M68" s="64" t="s">
        <v>168</v>
      </c>
    </row>
    <row r="69" spans="2:13">
      <c r="B69" s="8" t="s">
        <v>1</v>
      </c>
      <c r="C69" s="458" t="s">
        <v>0</v>
      </c>
      <c r="D69" s="458"/>
      <c r="E69" s="458" t="s">
        <v>31</v>
      </c>
      <c r="F69" s="458"/>
      <c r="G69" s="458"/>
      <c r="H69" s="458"/>
      <c r="I69" s="458"/>
      <c r="J69" s="458"/>
      <c r="K69" s="45"/>
      <c r="L69" s="12" t="e">
        <f t="shared" si="1"/>
        <v>#REF!</v>
      </c>
      <c r="M69" s="64"/>
    </row>
    <row r="70" spans="2:13">
      <c r="B70" s="451" t="s">
        <v>192</v>
      </c>
      <c r="C70" s="452"/>
      <c r="D70" s="452"/>
      <c r="E70" s="452"/>
      <c r="F70" s="452"/>
      <c r="G70" s="452"/>
      <c r="H70" s="452"/>
      <c r="I70" s="452"/>
      <c r="J70" s="453"/>
      <c r="K70" s="46"/>
      <c r="L70" s="12" t="e">
        <f>SUM(L64:L69)</f>
        <v>#REF!</v>
      </c>
    </row>
    <row r="71" spans="2:13">
      <c r="B71" s="93"/>
      <c r="C71" s="94"/>
      <c r="D71" s="94"/>
      <c r="E71" s="94"/>
      <c r="F71" s="94"/>
      <c r="G71" s="94"/>
      <c r="H71" s="94"/>
      <c r="I71" s="94"/>
      <c r="J71" s="95"/>
      <c r="K71" s="34"/>
      <c r="L71" s="12"/>
    </row>
    <row r="72" spans="2:13">
      <c r="B72" s="446" t="s">
        <v>193</v>
      </c>
      <c r="C72" s="447"/>
      <c r="D72" s="447"/>
      <c r="E72" s="447"/>
      <c r="F72" s="447"/>
      <c r="G72" s="447"/>
      <c r="H72" s="447"/>
      <c r="I72" s="447"/>
      <c r="J72" s="447"/>
      <c r="K72" s="92" t="s">
        <v>9</v>
      </c>
      <c r="L72" s="12" t="s">
        <v>166</v>
      </c>
    </row>
    <row r="73" spans="2:13">
      <c r="B73" s="90" t="s">
        <v>4</v>
      </c>
      <c r="C73" s="421" t="s">
        <v>194</v>
      </c>
      <c r="D73" s="421"/>
      <c r="E73" s="421"/>
      <c r="F73" s="421"/>
      <c r="G73" s="421"/>
      <c r="H73" s="421"/>
      <c r="I73" s="421"/>
      <c r="J73" s="421"/>
      <c r="K73" s="41">
        <v>0</v>
      </c>
      <c r="L73" s="12" t="e">
        <f>K73*$L$17</f>
        <v>#REF!</v>
      </c>
    </row>
    <row r="74" spans="2:13">
      <c r="B74" s="451" t="s">
        <v>195</v>
      </c>
      <c r="C74" s="452"/>
      <c r="D74" s="452"/>
      <c r="E74" s="452"/>
      <c r="F74" s="452"/>
      <c r="G74" s="452"/>
      <c r="H74" s="452"/>
      <c r="I74" s="452"/>
      <c r="J74" s="453"/>
      <c r="K74" s="46"/>
      <c r="L74" s="12" t="e">
        <f>SUM(L73:L73)</f>
        <v>#REF!</v>
      </c>
    </row>
    <row r="75" spans="2:13">
      <c r="B75" s="93"/>
      <c r="C75" s="94"/>
      <c r="D75" s="94"/>
      <c r="E75" s="94"/>
      <c r="F75" s="94"/>
      <c r="G75" s="94"/>
      <c r="H75" s="94"/>
      <c r="I75" s="94"/>
      <c r="J75" s="94"/>
      <c r="K75" s="99"/>
      <c r="L75" s="12"/>
    </row>
    <row r="76" spans="2:13">
      <c r="B76" s="473" t="s">
        <v>196</v>
      </c>
      <c r="C76" s="473"/>
      <c r="D76" s="473"/>
      <c r="E76" s="473"/>
      <c r="F76" s="473"/>
      <c r="G76" s="473"/>
      <c r="H76" s="473"/>
      <c r="I76" s="473"/>
      <c r="J76" s="473"/>
      <c r="K76" s="473"/>
      <c r="L76" s="7" t="e">
        <f>L34</f>
        <v>#REF!</v>
      </c>
    </row>
    <row r="77" spans="2:13">
      <c r="B77" s="90" t="s">
        <v>197</v>
      </c>
      <c r="C77" s="448" t="s">
        <v>188</v>
      </c>
      <c r="D77" s="449"/>
      <c r="E77" s="449"/>
      <c r="F77" s="449"/>
      <c r="G77" s="449"/>
      <c r="H77" s="449"/>
      <c r="I77" s="449"/>
      <c r="J77" s="450"/>
      <c r="K77" s="80"/>
      <c r="L77" s="12" t="e">
        <f>L70</f>
        <v>#REF!</v>
      </c>
    </row>
    <row r="78" spans="2:13">
      <c r="B78" s="90" t="s">
        <v>198</v>
      </c>
      <c r="C78" s="448" t="s">
        <v>199</v>
      </c>
      <c r="D78" s="449"/>
      <c r="E78" s="449"/>
      <c r="F78" s="449"/>
      <c r="G78" s="449"/>
      <c r="H78" s="449"/>
      <c r="I78" s="449"/>
      <c r="J78" s="450"/>
      <c r="K78" s="80"/>
      <c r="L78" s="12" t="e">
        <f>L74</f>
        <v>#REF!</v>
      </c>
    </row>
    <row r="79" spans="2:13">
      <c r="B79" s="474" t="s">
        <v>200</v>
      </c>
      <c r="C79" s="475"/>
      <c r="D79" s="475"/>
      <c r="E79" s="475"/>
      <c r="F79" s="475"/>
      <c r="G79" s="475"/>
      <c r="H79" s="475"/>
      <c r="I79" s="475"/>
      <c r="J79" s="476"/>
      <c r="K79" s="101"/>
      <c r="L79" s="102" t="e">
        <f>SUM(L77:L78)</f>
        <v>#REF!</v>
      </c>
    </row>
    <row r="80" spans="2:13">
      <c r="B80" s="461"/>
      <c r="C80" s="462"/>
      <c r="D80" s="462"/>
      <c r="E80" s="462"/>
      <c r="F80" s="462"/>
      <c r="G80" s="462"/>
      <c r="H80" s="462"/>
      <c r="I80" s="462"/>
      <c r="J80" s="462"/>
      <c r="K80" s="462"/>
      <c r="L80" s="462"/>
    </row>
    <row r="81" spans="2:13">
      <c r="B81" s="454" t="s">
        <v>201</v>
      </c>
      <c r="C81" s="454"/>
      <c r="D81" s="454"/>
      <c r="E81" s="454"/>
      <c r="F81" s="454"/>
      <c r="G81" s="454"/>
      <c r="H81" s="454"/>
      <c r="I81" s="454"/>
      <c r="J81" s="454"/>
      <c r="K81" s="97"/>
      <c r="L81" s="98"/>
      <c r="M81" s="23"/>
    </row>
    <row r="82" spans="2:13">
      <c r="B82" s="8" t="s">
        <v>4</v>
      </c>
      <c r="C82" s="470" t="s">
        <v>54</v>
      </c>
      <c r="D82" s="470"/>
      <c r="E82" s="470"/>
      <c r="F82" s="470"/>
      <c r="G82" s="470"/>
      <c r="H82" s="470"/>
      <c r="I82" s="470"/>
      <c r="J82" s="470"/>
      <c r="K82" s="470"/>
      <c r="L82" s="12" t="e">
        <f>#REF!</f>
        <v>#REF!</v>
      </c>
    </row>
    <row r="83" spans="2:13">
      <c r="B83" s="8" t="s">
        <v>6</v>
      </c>
      <c r="C83" s="408" t="s">
        <v>203</v>
      </c>
      <c r="D83" s="409"/>
      <c r="E83" s="410" t="s">
        <v>55</v>
      </c>
      <c r="F83" s="411"/>
      <c r="G83" s="411"/>
      <c r="H83" s="411"/>
      <c r="I83" s="412"/>
      <c r="J83" s="471">
        <v>0.12</v>
      </c>
      <c r="K83" s="472"/>
      <c r="L83" s="19" t="e">
        <f>(L17+L51+L60+L79+L82)/(1-J83)*J83</f>
        <v>#REF!</v>
      </c>
      <c r="M83" s="24"/>
    </row>
    <row r="84" spans="2:13">
      <c r="B84" s="91" t="s">
        <v>210</v>
      </c>
      <c r="C84" s="408" t="s">
        <v>211</v>
      </c>
      <c r="D84" s="409"/>
      <c r="E84" s="410"/>
      <c r="F84" s="411"/>
      <c r="G84" s="411"/>
      <c r="H84" s="411"/>
      <c r="I84" s="412"/>
      <c r="J84" s="413">
        <f>H95+H96</f>
        <v>9.2499999999999999E-2</v>
      </c>
      <c r="K84" s="414"/>
      <c r="L84" s="19" t="e">
        <f>-J84*L83</f>
        <v>#REF!</v>
      </c>
      <c r="M84" s="24"/>
    </row>
    <row r="85" spans="2:13">
      <c r="B85" s="90" t="s">
        <v>10</v>
      </c>
      <c r="C85" s="83" t="s">
        <v>202</v>
      </c>
      <c r="D85" s="84"/>
      <c r="E85" s="85"/>
      <c r="F85" s="86"/>
      <c r="G85" s="86"/>
      <c r="H85" s="86"/>
      <c r="I85" s="87"/>
      <c r="J85" s="88"/>
      <c r="K85" s="89"/>
      <c r="L85" s="19"/>
      <c r="M85" s="24"/>
    </row>
    <row r="86" spans="2:13">
      <c r="B86" s="8" t="s">
        <v>204</v>
      </c>
      <c r="C86" s="458" t="s">
        <v>0</v>
      </c>
      <c r="D86" s="458"/>
      <c r="E86" s="458"/>
      <c r="F86" s="458"/>
      <c r="G86" s="458"/>
      <c r="H86" s="458"/>
      <c r="I86" s="458"/>
      <c r="J86" s="458"/>
      <c r="K86" s="458"/>
      <c r="L86" s="19">
        <v>0</v>
      </c>
    </row>
    <row r="87" spans="2:13">
      <c r="B87" s="474" t="s">
        <v>207</v>
      </c>
      <c r="C87" s="475"/>
      <c r="D87" s="475"/>
      <c r="E87" s="475"/>
      <c r="F87" s="475"/>
      <c r="G87" s="475"/>
      <c r="H87" s="475"/>
      <c r="I87" s="475"/>
      <c r="J87" s="476"/>
      <c r="K87" s="101"/>
      <c r="L87" s="102" t="e">
        <f>SUM(L82:L86)</f>
        <v>#REF!</v>
      </c>
    </row>
    <row r="88" spans="2:13">
      <c r="B88" s="25"/>
      <c r="C88" s="25"/>
      <c r="D88" s="25"/>
      <c r="E88" s="25"/>
      <c r="F88" s="25"/>
      <c r="G88" s="25"/>
      <c r="H88" s="25"/>
      <c r="I88" s="26"/>
      <c r="J88" s="25"/>
      <c r="K88" s="25"/>
    </row>
    <row r="89" spans="2:13">
      <c r="B89" s="16"/>
      <c r="C89" s="16"/>
      <c r="D89" s="16"/>
      <c r="E89" s="16"/>
      <c r="F89" s="16"/>
      <c r="G89" s="16"/>
      <c r="H89" s="48"/>
      <c r="I89" s="48"/>
      <c r="J89" s="48"/>
      <c r="K89" s="48"/>
      <c r="L89" s="49"/>
    </row>
    <row r="90" spans="2:13">
      <c r="B90" s="454" t="s">
        <v>205</v>
      </c>
      <c r="C90" s="454"/>
      <c r="D90" s="454"/>
      <c r="E90" s="454"/>
      <c r="F90" s="454"/>
      <c r="G90" s="454"/>
      <c r="H90" s="454"/>
      <c r="I90" s="454"/>
      <c r="J90" s="454"/>
      <c r="K90" s="97"/>
      <c r="L90" s="98" t="str">
        <f>L5</f>
        <v>SERVENTE</v>
      </c>
    </row>
    <row r="91" spans="2:13">
      <c r="B91" s="8" t="s">
        <v>4</v>
      </c>
      <c r="C91" s="421" t="s">
        <v>206</v>
      </c>
      <c r="D91" s="421"/>
      <c r="E91" s="421"/>
      <c r="F91" s="421"/>
      <c r="G91" s="421"/>
      <c r="H91" s="421"/>
      <c r="I91" s="421"/>
      <c r="J91" s="421"/>
      <c r="K91" s="65">
        <v>0.05</v>
      </c>
      <c r="L91" s="28" t="e">
        <f>K91*L110</f>
        <v>#REF!</v>
      </c>
      <c r="M91" s="50"/>
    </row>
    <row r="92" spans="2:13">
      <c r="B92" s="8" t="s">
        <v>6</v>
      </c>
      <c r="C92" s="421" t="s">
        <v>32</v>
      </c>
      <c r="D92" s="421"/>
      <c r="E92" s="421"/>
      <c r="F92" s="421"/>
      <c r="G92" s="421"/>
      <c r="H92" s="421"/>
      <c r="I92" s="421"/>
      <c r="J92" s="421"/>
      <c r="K92" s="65">
        <v>6.8099999999999994E-2</v>
      </c>
      <c r="L92" s="28" t="e">
        <f>K92*L110</f>
        <v>#REF!</v>
      </c>
      <c r="M92" s="50"/>
    </row>
    <row r="93" spans="2:13">
      <c r="B93" s="427" t="s">
        <v>10</v>
      </c>
      <c r="C93" s="435" t="s">
        <v>33</v>
      </c>
      <c r="D93" s="436"/>
      <c r="E93" s="436"/>
      <c r="F93" s="436"/>
      <c r="G93" s="436"/>
      <c r="H93" s="436"/>
      <c r="I93" s="437"/>
      <c r="J93" s="438" t="e">
        <f>L110+L91+L92</f>
        <v>#REF!</v>
      </c>
      <c r="K93" s="439"/>
      <c r="L93" s="47"/>
    </row>
    <row r="94" spans="2:13">
      <c r="B94" s="427"/>
      <c r="C94" s="440" t="s">
        <v>34</v>
      </c>
      <c r="D94" s="441"/>
      <c r="E94" s="441"/>
      <c r="F94" s="442"/>
      <c r="G94" s="40"/>
      <c r="H94" s="40" t="s">
        <v>35</v>
      </c>
      <c r="I94" s="40"/>
      <c r="J94" s="443"/>
      <c r="K94" s="444"/>
      <c r="L94" s="47"/>
    </row>
    <row r="95" spans="2:13">
      <c r="B95" s="427"/>
      <c r="C95" s="434" t="s">
        <v>36</v>
      </c>
      <c r="D95" s="434"/>
      <c r="E95" s="434"/>
      <c r="F95" s="434"/>
      <c r="G95" s="66" t="s">
        <v>37</v>
      </c>
      <c r="H95" s="35">
        <v>1.6500000000000001E-2</v>
      </c>
      <c r="I95" s="445">
        <f>SUM(H95:H100)</f>
        <v>0.13250000000000001</v>
      </c>
      <c r="J95" s="432" t="e">
        <f t="shared" ref="J95:J100" si="2">ROUND($L$112*H95,2)</f>
        <v>#REF!</v>
      </c>
      <c r="K95" s="433"/>
      <c r="L95" s="429" t="e">
        <f>SUM(J95:K100)</f>
        <v>#REF!</v>
      </c>
    </row>
    <row r="96" spans="2:13">
      <c r="B96" s="427"/>
      <c r="C96" s="434"/>
      <c r="D96" s="434"/>
      <c r="E96" s="434"/>
      <c r="F96" s="434"/>
      <c r="G96" s="66" t="s">
        <v>38</v>
      </c>
      <c r="H96" s="35">
        <v>7.5999999999999998E-2</v>
      </c>
      <c r="I96" s="445"/>
      <c r="J96" s="432" t="e">
        <f t="shared" si="2"/>
        <v>#REF!</v>
      </c>
      <c r="K96" s="433"/>
      <c r="L96" s="430"/>
    </row>
    <row r="97" spans="2:12">
      <c r="B97" s="427"/>
      <c r="C97" s="434"/>
      <c r="D97" s="434"/>
      <c r="E97" s="434"/>
      <c r="F97" s="434"/>
      <c r="G97" s="66" t="s">
        <v>39</v>
      </c>
      <c r="H97" s="35">
        <v>0</v>
      </c>
      <c r="I97" s="445"/>
      <c r="J97" s="432" t="e">
        <f t="shared" si="2"/>
        <v>#REF!</v>
      </c>
      <c r="K97" s="433"/>
      <c r="L97" s="430"/>
    </row>
    <row r="98" spans="2:12">
      <c r="B98" s="427"/>
      <c r="C98" s="434" t="s">
        <v>40</v>
      </c>
      <c r="D98" s="434"/>
      <c r="E98" s="434"/>
      <c r="F98" s="434"/>
      <c r="G98" s="67" t="s">
        <v>41</v>
      </c>
      <c r="H98" s="35">
        <v>0.04</v>
      </c>
      <c r="I98" s="445"/>
      <c r="J98" s="432" t="e">
        <f t="shared" si="2"/>
        <v>#REF!</v>
      </c>
      <c r="K98" s="433"/>
      <c r="L98" s="430"/>
    </row>
    <row r="99" spans="2:12">
      <c r="B99" s="427"/>
      <c r="C99" s="434"/>
      <c r="D99" s="434"/>
      <c r="E99" s="434"/>
      <c r="F99" s="434"/>
      <c r="G99" s="67" t="s">
        <v>39</v>
      </c>
      <c r="H99" s="35">
        <v>0</v>
      </c>
      <c r="I99" s="445"/>
      <c r="J99" s="432" t="e">
        <f t="shared" si="2"/>
        <v>#REF!</v>
      </c>
      <c r="K99" s="433"/>
      <c r="L99" s="430"/>
    </row>
    <row r="100" spans="2:12">
      <c r="B100" s="427"/>
      <c r="C100" s="434" t="s">
        <v>42</v>
      </c>
      <c r="D100" s="434"/>
      <c r="E100" s="434"/>
      <c r="F100" s="434"/>
      <c r="G100" s="67"/>
      <c r="H100" s="35">
        <v>0</v>
      </c>
      <c r="I100" s="445"/>
      <c r="J100" s="432" t="e">
        <f t="shared" si="2"/>
        <v>#REF!</v>
      </c>
      <c r="K100" s="433"/>
      <c r="L100" s="431"/>
    </row>
    <row r="101" spans="2:12">
      <c r="B101" s="427" t="s">
        <v>43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60" t="e">
        <f>L95+L92+L91</f>
        <v>#REF!</v>
      </c>
    </row>
    <row r="102" spans="2:12">
      <c r="B102" s="51"/>
      <c r="C102" s="51"/>
      <c r="D102" s="51"/>
      <c r="E102" s="51"/>
      <c r="F102" s="51"/>
      <c r="G102" s="51"/>
      <c r="H102" s="51"/>
      <c r="I102" s="52"/>
      <c r="J102" s="53"/>
      <c r="K102" s="51"/>
    </row>
    <row r="103" spans="2:12">
      <c r="B103" s="428" t="s">
        <v>44</v>
      </c>
      <c r="C103" s="428"/>
      <c r="D103" s="428"/>
      <c r="E103" s="428"/>
      <c r="F103" s="428"/>
      <c r="G103" s="428"/>
      <c r="H103" s="428"/>
      <c r="I103" s="428"/>
      <c r="J103" s="428"/>
      <c r="K103" s="428"/>
      <c r="L103" s="428"/>
    </row>
    <row r="104" spans="2:12">
      <c r="B104" s="422" t="s">
        <v>45</v>
      </c>
      <c r="C104" s="422"/>
      <c r="D104" s="422"/>
      <c r="E104" s="422"/>
      <c r="F104" s="422"/>
      <c r="G104" s="422"/>
      <c r="H104" s="422"/>
      <c r="I104" s="422"/>
      <c r="J104" s="422"/>
      <c r="K104" s="422"/>
      <c r="L104" s="7" t="str">
        <f>L5</f>
        <v>SERVENTE</v>
      </c>
    </row>
    <row r="105" spans="2:12">
      <c r="B105" s="8" t="s">
        <v>4</v>
      </c>
      <c r="C105" s="421" t="str">
        <f>B6</f>
        <v xml:space="preserve">MÓDULO 01 – Composição da Remuneração </v>
      </c>
      <c r="D105" s="421"/>
      <c r="E105" s="421"/>
      <c r="F105" s="421"/>
      <c r="G105" s="421"/>
      <c r="H105" s="421"/>
      <c r="I105" s="421"/>
      <c r="J105" s="421"/>
      <c r="K105" s="421"/>
      <c r="L105" s="54" t="e">
        <f>L17</f>
        <v>#REF!</v>
      </c>
    </row>
    <row r="106" spans="2:12">
      <c r="B106" s="8" t="s">
        <v>6</v>
      </c>
      <c r="C106" s="421" t="str">
        <f>B19</f>
        <v>MÓDULO 2 – ENCARGOS E BENEFÍCIOS ANUAIS, MENSAIS E DIÁRIOS</v>
      </c>
      <c r="D106" s="421"/>
      <c r="E106" s="421"/>
      <c r="F106" s="421"/>
      <c r="G106" s="421"/>
      <c r="H106" s="421"/>
      <c r="I106" s="421"/>
      <c r="J106" s="421"/>
      <c r="K106" s="421"/>
      <c r="L106" s="54" t="e">
        <f>L51</f>
        <v>#REF!</v>
      </c>
    </row>
    <row r="107" spans="2:12">
      <c r="B107" s="8" t="s">
        <v>10</v>
      </c>
      <c r="C107" s="421" t="str">
        <f>B53</f>
        <v>MÓDULO 3 – PROVISÃO PARA RESCISÃO</v>
      </c>
      <c r="D107" s="421"/>
      <c r="E107" s="421"/>
      <c r="F107" s="421"/>
      <c r="G107" s="421"/>
      <c r="H107" s="421"/>
      <c r="I107" s="421"/>
      <c r="J107" s="421"/>
      <c r="K107" s="421"/>
      <c r="L107" s="54" t="e">
        <f>L60</f>
        <v>#REF!</v>
      </c>
    </row>
    <row r="108" spans="2:12">
      <c r="B108" s="8" t="s">
        <v>12</v>
      </c>
      <c r="C108" s="421" t="str">
        <f>B62</f>
        <v>MÓDULO 4 – CUSTO DE REPOSIÇÃO DO PROFISSIONAL AUSENTE</v>
      </c>
      <c r="D108" s="421"/>
      <c r="E108" s="421"/>
      <c r="F108" s="421"/>
      <c r="G108" s="421"/>
      <c r="H108" s="421"/>
      <c r="I108" s="421"/>
      <c r="J108" s="421"/>
      <c r="K108" s="421"/>
      <c r="L108" s="54" t="e">
        <f>L79</f>
        <v>#REF!</v>
      </c>
    </row>
    <row r="109" spans="2:12">
      <c r="B109" s="90" t="s">
        <v>14</v>
      </c>
      <c r="C109" s="421" t="str">
        <f>B81</f>
        <v>MÓDULO 5 – INSUMOS DIVERSOS</v>
      </c>
      <c r="D109" s="421"/>
      <c r="E109" s="421"/>
      <c r="F109" s="421"/>
      <c r="G109" s="421"/>
      <c r="H109" s="421"/>
      <c r="I109" s="421"/>
      <c r="J109" s="421"/>
      <c r="K109" s="421"/>
      <c r="L109" s="54" t="e">
        <f>L87</f>
        <v>#REF!</v>
      </c>
    </row>
    <row r="110" spans="2:12">
      <c r="B110" s="422" t="s">
        <v>209</v>
      </c>
      <c r="C110" s="422"/>
      <c r="D110" s="422"/>
      <c r="E110" s="422"/>
      <c r="F110" s="422"/>
      <c r="G110" s="422"/>
      <c r="H110" s="422"/>
      <c r="I110" s="422"/>
      <c r="J110" s="422"/>
      <c r="K110" s="422"/>
      <c r="L110" s="61" t="e">
        <f>SUM(L105:L109)</f>
        <v>#REF!</v>
      </c>
    </row>
    <row r="111" spans="2:12">
      <c r="B111" s="8" t="s">
        <v>14</v>
      </c>
      <c r="C111" s="421" t="s">
        <v>46</v>
      </c>
      <c r="D111" s="421"/>
      <c r="E111" s="421"/>
      <c r="F111" s="421"/>
      <c r="G111" s="421"/>
      <c r="H111" s="421"/>
      <c r="I111" s="421"/>
      <c r="J111" s="421"/>
      <c r="K111" s="421"/>
      <c r="L111" s="55" t="e">
        <f>L112-L110</f>
        <v>#REF!</v>
      </c>
    </row>
    <row r="112" spans="2:12">
      <c r="B112" s="423" t="s">
        <v>47</v>
      </c>
      <c r="C112" s="423"/>
      <c r="D112" s="423"/>
      <c r="E112" s="423"/>
      <c r="F112" s="423"/>
      <c r="G112" s="423"/>
      <c r="H112" s="423"/>
      <c r="I112" s="423"/>
      <c r="J112" s="423"/>
      <c r="K112" s="423"/>
      <c r="L112" s="62" t="e">
        <f>ROUND(J93/(1-$I$95),2)</f>
        <v>#REF!</v>
      </c>
    </row>
    <row r="113" spans="6:12">
      <c r="K113" s="50"/>
    </row>
    <row r="115" spans="6:12">
      <c r="F115" s="424" t="s">
        <v>48</v>
      </c>
      <c r="G115" s="425"/>
      <c r="H115" s="425"/>
      <c r="I115" s="426"/>
      <c r="J115" s="1"/>
      <c r="L115" s="1"/>
    </row>
    <row r="116" spans="6:12">
      <c r="F116" s="424" t="s">
        <v>49</v>
      </c>
      <c r="G116" s="425"/>
      <c r="H116" s="426"/>
      <c r="I116" s="56" t="s">
        <v>9</v>
      </c>
      <c r="J116" s="1"/>
      <c r="L116" s="1"/>
    </row>
    <row r="117" spans="6:12">
      <c r="F117" s="57" t="s">
        <v>50</v>
      </c>
      <c r="G117" s="57"/>
      <c r="H117" s="58"/>
      <c r="I117" s="58">
        <f>K91</f>
        <v>0.05</v>
      </c>
      <c r="J117" s="1"/>
      <c r="L117" s="1"/>
    </row>
    <row r="118" spans="6:12">
      <c r="F118" s="415" t="s">
        <v>32</v>
      </c>
      <c r="G118" s="416"/>
      <c r="H118" s="417"/>
      <c r="I118" s="58">
        <f>K92</f>
        <v>6.8099999999999994E-2</v>
      </c>
      <c r="J118" s="1"/>
      <c r="L118" s="1"/>
    </row>
    <row r="119" spans="6:12">
      <c r="F119" s="57" t="s">
        <v>51</v>
      </c>
      <c r="G119" s="57"/>
      <c r="H119" s="58"/>
      <c r="I119" s="58">
        <f>I95</f>
        <v>0.13250000000000001</v>
      </c>
      <c r="J119" s="1"/>
      <c r="L119" s="1"/>
    </row>
    <row r="120" spans="6:12">
      <c r="F120" s="418" t="s">
        <v>52</v>
      </c>
      <c r="G120" s="419"/>
      <c r="H120" s="420"/>
      <c r="I120" s="58">
        <f>(1+I117)*(1+I118)/(1-I119)-1</f>
        <v>0.29280115273775253</v>
      </c>
      <c r="J120" s="1"/>
      <c r="L120" s="1"/>
    </row>
  </sheetData>
  <mergeCells count="126">
    <mergeCell ref="B45:J45"/>
    <mergeCell ref="J94:K94"/>
    <mergeCell ref="C100:F100"/>
    <mergeCell ref="B62:J62"/>
    <mergeCell ref="C64:J64"/>
    <mergeCell ref="B53:J53"/>
    <mergeCell ref="C54:H54"/>
    <mergeCell ref="J95:K95"/>
    <mergeCell ref="J96:K96"/>
    <mergeCell ref="B52:L52"/>
    <mergeCell ref="B60:J60"/>
    <mergeCell ref="C55:H55"/>
    <mergeCell ref="I55:J55"/>
    <mergeCell ref="C56:H56"/>
    <mergeCell ref="I56:J56"/>
    <mergeCell ref="C57:H57"/>
    <mergeCell ref="I57:J57"/>
    <mergeCell ref="C58:H58"/>
    <mergeCell ref="I58:J58"/>
    <mergeCell ref="B74:J74"/>
    <mergeCell ref="B76:K76"/>
    <mergeCell ref="C77:J77"/>
    <mergeCell ref="B90:J90"/>
    <mergeCell ref="B87:J87"/>
    <mergeCell ref="C22:J22"/>
    <mergeCell ref="B25:J25"/>
    <mergeCell ref="B34:J34"/>
    <mergeCell ref="B36:J36"/>
    <mergeCell ref="C37:J37"/>
    <mergeCell ref="C38:J38"/>
    <mergeCell ref="C26:J26"/>
    <mergeCell ref="C27:J27"/>
    <mergeCell ref="C28:J28"/>
    <mergeCell ref="B101:K101"/>
    <mergeCell ref="B103:L103"/>
    <mergeCell ref="L95:L100"/>
    <mergeCell ref="C31:D31"/>
    <mergeCell ref="E31:F31"/>
    <mergeCell ref="G31:J31"/>
    <mergeCell ref="C92:J92"/>
    <mergeCell ref="B93:B100"/>
    <mergeCell ref="C95:F97"/>
    <mergeCell ref="I95:I100"/>
    <mergeCell ref="C98:F99"/>
    <mergeCell ref="C91:J91"/>
    <mergeCell ref="C94:F94"/>
    <mergeCell ref="J93:K93"/>
    <mergeCell ref="C93:I93"/>
    <mergeCell ref="J97:K97"/>
    <mergeCell ref="J98:K98"/>
    <mergeCell ref="J99:K99"/>
    <mergeCell ref="J100:K100"/>
    <mergeCell ref="C39:J39"/>
    <mergeCell ref="C40:J40"/>
    <mergeCell ref="C41:J41"/>
    <mergeCell ref="C42:J42"/>
    <mergeCell ref="C43:J43"/>
    <mergeCell ref="C111:K111"/>
    <mergeCell ref="B112:K112"/>
    <mergeCell ref="F115:I115"/>
    <mergeCell ref="F116:H116"/>
    <mergeCell ref="F118:H118"/>
    <mergeCell ref="F120:H120"/>
    <mergeCell ref="B104:K104"/>
    <mergeCell ref="C105:K105"/>
    <mergeCell ref="C106:K106"/>
    <mergeCell ref="C107:K107"/>
    <mergeCell ref="C108:K108"/>
    <mergeCell ref="B110:K110"/>
    <mergeCell ref="C109:K109"/>
    <mergeCell ref="C86:K86"/>
    <mergeCell ref="B72:J72"/>
    <mergeCell ref="C73:J73"/>
    <mergeCell ref="C82:K82"/>
    <mergeCell ref="C83:D83"/>
    <mergeCell ref="E83:I83"/>
    <mergeCell ref="J83:K83"/>
    <mergeCell ref="C78:J78"/>
    <mergeCell ref="C84:D84"/>
    <mergeCell ref="E84:I84"/>
    <mergeCell ref="J84:K84"/>
    <mergeCell ref="B79:J79"/>
    <mergeCell ref="B80:L80"/>
    <mergeCell ref="B81:J81"/>
    <mergeCell ref="B47:K47"/>
    <mergeCell ref="C48:J48"/>
    <mergeCell ref="C49:J49"/>
    <mergeCell ref="C50:J50"/>
    <mergeCell ref="B51:J51"/>
    <mergeCell ref="C67:E67"/>
    <mergeCell ref="C68:E68"/>
    <mergeCell ref="B70:J70"/>
    <mergeCell ref="B63:J63"/>
    <mergeCell ref="G68:H68"/>
    <mergeCell ref="C69:J69"/>
    <mergeCell ref="C65:F65"/>
    <mergeCell ref="G65:I65"/>
    <mergeCell ref="C66:F66"/>
    <mergeCell ref="G66:H66"/>
    <mergeCell ref="C59:H59"/>
    <mergeCell ref="I59:J59"/>
    <mergeCell ref="G67:H67"/>
    <mergeCell ref="B2:L2"/>
    <mergeCell ref="B3:L4"/>
    <mergeCell ref="B6:L6"/>
    <mergeCell ref="C7:K7"/>
    <mergeCell ref="C9:E9"/>
    <mergeCell ref="F9:I9"/>
    <mergeCell ref="C44:K44"/>
    <mergeCell ref="C14:I14"/>
    <mergeCell ref="C15:K15"/>
    <mergeCell ref="C16:K16"/>
    <mergeCell ref="B17:K17"/>
    <mergeCell ref="C8:K8"/>
    <mergeCell ref="C29:J29"/>
    <mergeCell ref="C30:J30"/>
    <mergeCell ref="C32:F32"/>
    <mergeCell ref="C33:J33"/>
    <mergeCell ref="C10:I10"/>
    <mergeCell ref="C11:I11"/>
    <mergeCell ref="C12:I12"/>
    <mergeCell ref="C13:I13"/>
    <mergeCell ref="B19:K19"/>
    <mergeCell ref="B20:J20"/>
    <mergeCell ref="B23:J23"/>
    <mergeCell ref="C21:J21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120"/>
  <sheetViews>
    <sheetView workbookViewId="0">
      <selection activeCell="G85" sqref="G85"/>
    </sheetView>
  </sheetViews>
  <sheetFormatPr defaultColWidth="11.85546875" defaultRowHeight="15"/>
  <cols>
    <col min="1" max="1" width="6.28515625" style="1" customWidth="1"/>
    <col min="2" max="2" width="4.5703125" style="1" customWidth="1"/>
    <col min="3" max="3" width="9" style="1" customWidth="1"/>
    <col min="4" max="4" width="25" style="1" customWidth="1"/>
    <col min="5" max="5" width="4.7109375" style="1" bestFit="1" customWidth="1"/>
    <col min="6" max="6" width="9" style="1" bestFit="1" customWidth="1"/>
    <col min="7" max="7" width="10.42578125" style="1" customWidth="1"/>
    <col min="8" max="8" width="10.7109375" style="1" customWidth="1"/>
    <col min="9" max="9" width="16.7109375" style="32" customWidth="1"/>
    <col min="10" max="10" width="9" style="33" bestFit="1" customWidth="1"/>
    <col min="11" max="11" width="9.140625" style="1" bestFit="1" customWidth="1"/>
    <col min="12" max="12" width="12.7109375" style="18" bestFit="1" customWidth="1"/>
    <col min="13" max="13" width="13.28515625" style="1" bestFit="1" customWidth="1"/>
    <col min="14" max="16384" width="11.85546875" style="1"/>
  </cols>
  <sheetData>
    <row r="2" spans="2:13">
      <c r="B2" s="463" t="s">
        <v>2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</row>
    <row r="3" spans="2:13" s="2" customFormat="1">
      <c r="B3" s="464" t="e">
        <f>#REF!</f>
        <v>#REF!</v>
      </c>
      <c r="C3" s="465"/>
      <c r="D3" s="465"/>
      <c r="E3" s="465"/>
      <c r="F3" s="465"/>
      <c r="G3" s="465"/>
      <c r="H3" s="465"/>
      <c r="I3" s="465"/>
      <c r="J3" s="465"/>
      <c r="K3" s="465"/>
      <c r="L3" s="466"/>
    </row>
    <row r="4" spans="2:13" s="2" customFormat="1">
      <c r="B4" s="467"/>
      <c r="C4" s="468"/>
      <c r="D4" s="468"/>
      <c r="E4" s="468"/>
      <c r="F4" s="468"/>
      <c r="G4" s="468"/>
      <c r="H4" s="468"/>
      <c r="I4" s="468"/>
      <c r="J4" s="468"/>
      <c r="K4" s="468"/>
      <c r="L4" s="469"/>
    </row>
    <row r="5" spans="2:13">
      <c r="B5" s="3"/>
      <c r="C5" s="4"/>
      <c r="D5" s="4"/>
      <c r="E5" s="4"/>
      <c r="F5" s="4"/>
      <c r="G5" s="4"/>
      <c r="H5" s="4"/>
      <c r="I5" s="5"/>
      <c r="J5" s="4"/>
      <c r="K5" s="6"/>
      <c r="L5" s="7" t="s">
        <v>53</v>
      </c>
    </row>
    <row r="6" spans="2:13">
      <c r="B6" s="454" t="s">
        <v>3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</row>
    <row r="7" spans="2:13">
      <c r="B7" s="59" t="s">
        <v>4</v>
      </c>
      <c r="C7" s="421" t="s">
        <v>5</v>
      </c>
      <c r="D7" s="421"/>
      <c r="E7" s="421"/>
      <c r="F7" s="421"/>
      <c r="G7" s="421"/>
      <c r="H7" s="421"/>
      <c r="I7" s="421"/>
      <c r="J7" s="421"/>
      <c r="K7" s="421"/>
      <c r="L7" s="9" t="e">
        <f>#REF!</f>
        <v>#REF!</v>
      </c>
    </row>
    <row r="8" spans="2:13">
      <c r="B8" s="79" t="s">
        <v>154</v>
      </c>
      <c r="C8" s="421" t="s">
        <v>155</v>
      </c>
      <c r="D8" s="421"/>
      <c r="E8" s="421"/>
      <c r="F8" s="421"/>
      <c r="G8" s="421"/>
      <c r="H8" s="421"/>
      <c r="I8" s="421"/>
      <c r="J8" s="421"/>
      <c r="K8" s="421"/>
      <c r="L8" s="9"/>
    </row>
    <row r="9" spans="2:13">
      <c r="B9" s="59" t="s">
        <v>6</v>
      </c>
      <c r="C9" s="421" t="s">
        <v>7</v>
      </c>
      <c r="D9" s="421"/>
      <c r="E9" s="421"/>
      <c r="F9" s="455" t="s">
        <v>8</v>
      </c>
      <c r="G9" s="455"/>
      <c r="H9" s="455"/>
      <c r="I9" s="455"/>
      <c r="J9" s="10" t="s">
        <v>9</v>
      </c>
      <c r="K9" s="11">
        <v>0</v>
      </c>
      <c r="L9" s="12">
        <v>0</v>
      </c>
      <c r="M9" s="13"/>
    </row>
    <row r="10" spans="2:13">
      <c r="B10" s="90" t="s">
        <v>10</v>
      </c>
      <c r="C10" s="448" t="s">
        <v>160</v>
      </c>
      <c r="D10" s="449"/>
      <c r="E10" s="449"/>
      <c r="F10" s="449"/>
      <c r="G10" s="449"/>
      <c r="H10" s="449"/>
      <c r="I10" s="450"/>
      <c r="J10" s="10" t="s">
        <v>9</v>
      </c>
      <c r="K10" s="11">
        <v>0</v>
      </c>
      <c r="L10" s="12">
        <v>0</v>
      </c>
      <c r="M10" s="13"/>
    </row>
    <row r="11" spans="2:13">
      <c r="B11" s="90" t="s">
        <v>12</v>
      </c>
      <c r="C11" s="448" t="s">
        <v>157</v>
      </c>
      <c r="D11" s="449"/>
      <c r="E11" s="449"/>
      <c r="F11" s="449"/>
      <c r="G11" s="449"/>
      <c r="H11" s="449"/>
      <c r="I11" s="450"/>
      <c r="J11" s="10" t="s">
        <v>9</v>
      </c>
      <c r="K11" s="11">
        <v>0</v>
      </c>
      <c r="L11" s="12">
        <v>0</v>
      </c>
      <c r="M11" s="13"/>
    </row>
    <row r="12" spans="2:13">
      <c r="B12" s="90" t="s">
        <v>14</v>
      </c>
      <c r="C12" s="448" t="s">
        <v>158</v>
      </c>
      <c r="D12" s="449"/>
      <c r="E12" s="449"/>
      <c r="F12" s="449"/>
      <c r="G12" s="449"/>
      <c r="H12" s="449"/>
      <c r="I12" s="450"/>
      <c r="J12" s="10" t="s">
        <v>9</v>
      </c>
      <c r="K12" s="11">
        <v>0</v>
      </c>
      <c r="L12" s="12">
        <v>0</v>
      </c>
      <c r="M12" s="13"/>
    </row>
    <row r="13" spans="2:13">
      <c r="B13" s="90" t="s">
        <v>1</v>
      </c>
      <c r="C13" s="448" t="s">
        <v>159</v>
      </c>
      <c r="D13" s="449"/>
      <c r="E13" s="449"/>
      <c r="F13" s="449"/>
      <c r="G13" s="449"/>
      <c r="H13" s="449"/>
      <c r="I13" s="450"/>
      <c r="J13" s="10" t="s">
        <v>9</v>
      </c>
      <c r="K13" s="11">
        <v>0</v>
      </c>
      <c r="L13" s="12">
        <v>0</v>
      </c>
      <c r="M13" s="13"/>
    </row>
    <row r="14" spans="2:13">
      <c r="B14" s="90" t="s">
        <v>15</v>
      </c>
      <c r="C14" s="477" t="s">
        <v>11</v>
      </c>
      <c r="D14" s="477"/>
      <c r="E14" s="477"/>
      <c r="F14" s="477"/>
      <c r="G14" s="477"/>
      <c r="H14" s="477"/>
      <c r="I14" s="477"/>
      <c r="J14" s="10" t="s">
        <v>9</v>
      </c>
      <c r="K14" s="14">
        <v>0</v>
      </c>
      <c r="L14" s="12">
        <v>0</v>
      </c>
      <c r="M14" s="13"/>
    </row>
    <row r="15" spans="2:13">
      <c r="B15" s="90" t="s">
        <v>16</v>
      </c>
      <c r="C15" s="478" t="s">
        <v>13</v>
      </c>
      <c r="D15" s="478"/>
      <c r="E15" s="478"/>
      <c r="F15" s="478"/>
      <c r="G15" s="478"/>
      <c r="H15" s="478"/>
      <c r="I15" s="478"/>
      <c r="J15" s="478"/>
      <c r="K15" s="478"/>
      <c r="L15" s="12">
        <v>0</v>
      </c>
      <c r="M15" s="13"/>
    </row>
    <row r="16" spans="2:13">
      <c r="B16" s="90" t="s">
        <v>156</v>
      </c>
      <c r="C16" s="458" t="s">
        <v>0</v>
      </c>
      <c r="D16" s="458"/>
      <c r="E16" s="458"/>
      <c r="F16" s="458"/>
      <c r="G16" s="458"/>
      <c r="H16" s="458"/>
      <c r="I16" s="458"/>
      <c r="J16" s="458"/>
      <c r="K16" s="458"/>
      <c r="L16" s="12"/>
      <c r="M16" s="13"/>
    </row>
    <row r="17" spans="2:13">
      <c r="B17" s="479" t="s">
        <v>208</v>
      </c>
      <c r="C17" s="479"/>
      <c r="D17" s="479"/>
      <c r="E17" s="479"/>
      <c r="F17" s="479"/>
      <c r="G17" s="479"/>
      <c r="H17" s="479"/>
      <c r="I17" s="479"/>
      <c r="J17" s="479"/>
      <c r="K17" s="479"/>
      <c r="L17" s="100" t="e">
        <f>SUM(L7:L16)</f>
        <v>#REF!</v>
      </c>
      <c r="M17" s="15"/>
    </row>
    <row r="18" spans="2:13">
      <c r="B18" s="16"/>
      <c r="C18" s="16"/>
      <c r="D18" s="16"/>
      <c r="E18" s="16"/>
      <c r="F18" s="16"/>
      <c r="G18" s="16"/>
      <c r="H18" s="16"/>
      <c r="I18" s="17"/>
      <c r="J18" s="16"/>
      <c r="K18" s="16"/>
    </row>
    <row r="19" spans="2:13">
      <c r="B19" s="454" t="s">
        <v>161</v>
      </c>
      <c r="C19" s="454"/>
      <c r="D19" s="454"/>
      <c r="E19" s="454"/>
      <c r="F19" s="454"/>
      <c r="G19" s="454"/>
      <c r="H19" s="454"/>
      <c r="I19" s="454"/>
      <c r="J19" s="454"/>
      <c r="K19" s="454"/>
      <c r="L19" s="7" t="str">
        <f>L5</f>
        <v>SERVENTE</v>
      </c>
    </row>
    <row r="20" spans="2:13">
      <c r="B20" s="446" t="s">
        <v>162</v>
      </c>
      <c r="C20" s="447"/>
      <c r="D20" s="447"/>
      <c r="E20" s="447"/>
      <c r="F20" s="447"/>
      <c r="G20" s="447"/>
      <c r="H20" s="447"/>
      <c r="I20" s="447"/>
      <c r="J20" s="447"/>
      <c r="K20" s="92" t="s">
        <v>9</v>
      </c>
      <c r="L20" s="12" t="s">
        <v>166</v>
      </c>
    </row>
    <row r="21" spans="2:13">
      <c r="B21" s="90" t="s">
        <v>4</v>
      </c>
      <c r="C21" s="448" t="s">
        <v>163</v>
      </c>
      <c r="D21" s="449"/>
      <c r="E21" s="449"/>
      <c r="F21" s="449"/>
      <c r="G21" s="449"/>
      <c r="H21" s="449"/>
      <c r="I21" s="449"/>
      <c r="J21" s="450"/>
      <c r="K21" s="34">
        <v>8.3299999999999999E-2</v>
      </c>
      <c r="L21" s="12" t="e">
        <f>K21*L17</f>
        <v>#REF!</v>
      </c>
    </row>
    <row r="22" spans="2:13">
      <c r="B22" s="90" t="s">
        <v>6</v>
      </c>
      <c r="C22" s="448" t="s">
        <v>164</v>
      </c>
      <c r="D22" s="449"/>
      <c r="E22" s="449"/>
      <c r="F22" s="449"/>
      <c r="G22" s="449"/>
      <c r="H22" s="449"/>
      <c r="I22" s="449"/>
      <c r="J22" s="450"/>
      <c r="K22" s="34">
        <v>2.7799999999999998E-2</v>
      </c>
      <c r="L22" s="12" t="e">
        <f>K22*L17</f>
        <v>#REF!</v>
      </c>
    </row>
    <row r="23" spans="2:13">
      <c r="B23" s="451" t="s">
        <v>165</v>
      </c>
      <c r="C23" s="452"/>
      <c r="D23" s="452"/>
      <c r="E23" s="452"/>
      <c r="F23" s="452"/>
      <c r="G23" s="452"/>
      <c r="H23" s="452"/>
      <c r="I23" s="452"/>
      <c r="J23" s="453"/>
      <c r="K23" s="34">
        <f>SUM(K21:K22)</f>
        <v>0.1111</v>
      </c>
      <c r="L23" s="12" t="e">
        <f>SUM(L21:L22)</f>
        <v>#REF!</v>
      </c>
    </row>
    <row r="24" spans="2:13">
      <c r="B24" s="93"/>
      <c r="C24" s="94"/>
      <c r="D24" s="94"/>
      <c r="E24" s="94"/>
      <c r="F24" s="94"/>
      <c r="G24" s="94"/>
      <c r="H24" s="94"/>
      <c r="I24" s="94"/>
      <c r="J24" s="95"/>
      <c r="K24" s="34"/>
      <c r="L24" s="12"/>
    </row>
    <row r="25" spans="2:13">
      <c r="B25" s="446" t="s">
        <v>167</v>
      </c>
      <c r="C25" s="447"/>
      <c r="D25" s="447"/>
      <c r="E25" s="447"/>
      <c r="F25" s="447"/>
      <c r="G25" s="447"/>
      <c r="H25" s="447"/>
      <c r="I25" s="447"/>
      <c r="J25" s="447"/>
      <c r="K25" s="92" t="s">
        <v>9</v>
      </c>
      <c r="L25" s="12" t="s">
        <v>166</v>
      </c>
    </row>
    <row r="26" spans="2:13">
      <c r="B26" s="74" t="s">
        <v>4</v>
      </c>
      <c r="C26" s="455" t="s">
        <v>17</v>
      </c>
      <c r="D26" s="455"/>
      <c r="E26" s="455"/>
      <c r="F26" s="455"/>
      <c r="G26" s="455"/>
      <c r="H26" s="455"/>
      <c r="I26" s="455"/>
      <c r="J26" s="455"/>
      <c r="K26" s="27">
        <v>0.2</v>
      </c>
      <c r="L26" s="28" t="e">
        <f>ROUND($K$26*L17,2)</f>
        <v>#REF!</v>
      </c>
    </row>
    <row r="27" spans="2:13">
      <c r="B27" s="74" t="s">
        <v>6</v>
      </c>
      <c r="C27" s="455" t="s">
        <v>18</v>
      </c>
      <c r="D27" s="455"/>
      <c r="E27" s="455"/>
      <c r="F27" s="455"/>
      <c r="G27" s="455"/>
      <c r="H27" s="455"/>
      <c r="I27" s="455"/>
      <c r="J27" s="455"/>
      <c r="K27" s="27">
        <v>1.4999999999999999E-2</v>
      </c>
      <c r="L27" s="28" t="e">
        <f>ROUND($K$27*L17,2)</f>
        <v>#REF!</v>
      </c>
    </row>
    <row r="28" spans="2:13">
      <c r="B28" s="74" t="s">
        <v>10</v>
      </c>
      <c r="C28" s="455" t="s">
        <v>19</v>
      </c>
      <c r="D28" s="455"/>
      <c r="E28" s="455"/>
      <c r="F28" s="455"/>
      <c r="G28" s="455"/>
      <c r="H28" s="455"/>
      <c r="I28" s="455"/>
      <c r="J28" s="455"/>
      <c r="K28" s="27">
        <v>0.01</v>
      </c>
      <c r="L28" s="28" t="e">
        <f>ROUND(K28*$L$17,2)</f>
        <v>#REF!</v>
      </c>
    </row>
    <row r="29" spans="2:13">
      <c r="B29" s="74" t="s">
        <v>12</v>
      </c>
      <c r="C29" s="455" t="s">
        <v>20</v>
      </c>
      <c r="D29" s="455"/>
      <c r="E29" s="455"/>
      <c r="F29" s="455"/>
      <c r="G29" s="455"/>
      <c r="H29" s="455"/>
      <c r="I29" s="455"/>
      <c r="J29" s="455"/>
      <c r="K29" s="27">
        <v>2E-3</v>
      </c>
      <c r="L29" s="28" t="e">
        <f>ROUND(K29*$L$17,2)</f>
        <v>#REF!</v>
      </c>
    </row>
    <row r="30" spans="2:13">
      <c r="B30" s="74" t="s">
        <v>14</v>
      </c>
      <c r="C30" s="455" t="s">
        <v>21</v>
      </c>
      <c r="D30" s="455"/>
      <c r="E30" s="455"/>
      <c r="F30" s="455"/>
      <c r="G30" s="455"/>
      <c r="H30" s="455"/>
      <c r="I30" s="455"/>
      <c r="J30" s="455"/>
      <c r="K30" s="27">
        <v>2.5000000000000001E-2</v>
      </c>
      <c r="L30" s="28" t="e">
        <f>ROUND(K30*$L$17,2)</f>
        <v>#REF!</v>
      </c>
      <c r="M30" s="29"/>
    </row>
    <row r="31" spans="2:13">
      <c r="B31" s="74" t="s">
        <v>1</v>
      </c>
      <c r="C31" s="448" t="s">
        <v>153</v>
      </c>
      <c r="D31" s="450"/>
      <c r="E31" s="459">
        <v>0.08</v>
      </c>
      <c r="F31" s="460"/>
      <c r="G31" s="448" t="s">
        <v>152</v>
      </c>
      <c r="H31" s="449"/>
      <c r="I31" s="449"/>
      <c r="J31" s="450"/>
      <c r="K31" s="27">
        <f>E31*(1+(1/12)+(1/12/3))</f>
        <v>8.8888888888888878E-2</v>
      </c>
      <c r="L31" s="28" t="e">
        <f>ROUND(K31*($L$17+(1/3/12*L17)+(1/12*L17)),2)</f>
        <v>#REF!</v>
      </c>
      <c r="M31" s="1" t="s">
        <v>168</v>
      </c>
    </row>
    <row r="32" spans="2:13">
      <c r="B32" s="74" t="s">
        <v>15</v>
      </c>
      <c r="C32" s="455" t="s">
        <v>22</v>
      </c>
      <c r="D32" s="455"/>
      <c r="E32" s="455"/>
      <c r="F32" s="455"/>
      <c r="G32" s="73" t="s">
        <v>23</v>
      </c>
      <c r="H32" s="30">
        <v>0.03</v>
      </c>
      <c r="I32" s="73" t="s">
        <v>24</v>
      </c>
      <c r="J32" s="63">
        <v>1</v>
      </c>
      <c r="K32" s="31">
        <f>H32*J32</f>
        <v>0.03</v>
      </c>
      <c r="L32" s="28" t="e">
        <f>ROUND(K32*$L$17,2)</f>
        <v>#REF!</v>
      </c>
    </row>
    <row r="33" spans="2:20">
      <c r="B33" s="74" t="s">
        <v>16</v>
      </c>
      <c r="C33" s="455" t="s">
        <v>25</v>
      </c>
      <c r="D33" s="455"/>
      <c r="E33" s="455"/>
      <c r="F33" s="455"/>
      <c r="G33" s="455"/>
      <c r="H33" s="455"/>
      <c r="I33" s="455"/>
      <c r="J33" s="455"/>
      <c r="K33" s="27">
        <v>6.0000000000000001E-3</v>
      </c>
      <c r="L33" s="28" t="e">
        <f>ROUND(K33*$L$17,2)</f>
        <v>#REF!</v>
      </c>
      <c r="M33" s="2"/>
      <c r="N33" s="2"/>
      <c r="O33" s="2"/>
      <c r="P33" s="2"/>
      <c r="Q33" s="2"/>
      <c r="R33" s="2"/>
      <c r="S33" s="2"/>
      <c r="T33" s="2"/>
    </row>
    <row r="34" spans="2:20">
      <c r="B34" s="451" t="s">
        <v>169</v>
      </c>
      <c r="C34" s="452"/>
      <c r="D34" s="452"/>
      <c r="E34" s="452"/>
      <c r="F34" s="452"/>
      <c r="G34" s="452"/>
      <c r="H34" s="452"/>
      <c r="I34" s="452"/>
      <c r="J34" s="453"/>
      <c r="K34" s="34">
        <f>SUM(K26:K33)</f>
        <v>0.37688888888888894</v>
      </c>
      <c r="L34" s="12" t="e">
        <f>SUM(L26:L33)</f>
        <v>#REF!</v>
      </c>
      <c r="M34" s="2"/>
      <c r="N34" s="2"/>
      <c r="O34" s="2"/>
      <c r="P34" s="2"/>
      <c r="Q34" s="2"/>
      <c r="R34" s="2"/>
      <c r="S34" s="2"/>
      <c r="T34" s="2"/>
    </row>
    <row r="35" spans="2:20">
      <c r="B35" s="93"/>
      <c r="C35" s="94"/>
      <c r="D35" s="94"/>
      <c r="E35" s="94"/>
      <c r="F35" s="94"/>
      <c r="G35" s="94"/>
      <c r="H35" s="94"/>
      <c r="I35" s="94"/>
      <c r="J35" s="95"/>
      <c r="K35" s="34"/>
      <c r="L35" s="12"/>
      <c r="M35" s="2"/>
      <c r="N35" s="2"/>
      <c r="O35" s="2"/>
      <c r="P35" s="2"/>
      <c r="Q35" s="2"/>
      <c r="R35" s="2"/>
      <c r="S35" s="2"/>
      <c r="T35" s="2"/>
    </row>
    <row r="36" spans="2:20">
      <c r="B36" s="446" t="s">
        <v>170</v>
      </c>
      <c r="C36" s="447"/>
      <c r="D36" s="447"/>
      <c r="E36" s="447"/>
      <c r="F36" s="447"/>
      <c r="G36" s="447"/>
      <c r="H36" s="447"/>
      <c r="I36" s="447"/>
      <c r="J36" s="447"/>
      <c r="K36" s="92"/>
      <c r="L36" s="12" t="s">
        <v>166</v>
      </c>
    </row>
    <row r="37" spans="2:20">
      <c r="B37" s="59" t="s">
        <v>4</v>
      </c>
      <c r="C37" s="448" t="e">
        <f>#REF!</f>
        <v>#REF!</v>
      </c>
      <c r="D37" s="449"/>
      <c r="E37" s="449"/>
      <c r="F37" s="449"/>
      <c r="G37" s="449"/>
      <c r="H37" s="449"/>
      <c r="I37" s="449"/>
      <c r="J37" s="450"/>
      <c r="K37" s="80"/>
      <c r="L37" s="12" t="e">
        <f>#REF!</f>
        <v>#REF!</v>
      </c>
    </row>
    <row r="38" spans="2:20">
      <c r="B38" s="59" t="s">
        <v>6</v>
      </c>
      <c r="C38" s="448" t="e">
        <f>#REF!</f>
        <v>#REF!</v>
      </c>
      <c r="D38" s="449"/>
      <c r="E38" s="449"/>
      <c r="F38" s="449"/>
      <c r="G38" s="449"/>
      <c r="H38" s="449"/>
      <c r="I38" s="449"/>
      <c r="J38" s="450"/>
      <c r="K38" s="80"/>
      <c r="L38" s="12" t="e">
        <f>#REF!</f>
        <v>#REF!</v>
      </c>
    </row>
    <row r="39" spans="2:20">
      <c r="B39" s="59" t="s">
        <v>10</v>
      </c>
      <c r="C39" s="448" t="e">
        <f>#REF!</f>
        <v>#REF!</v>
      </c>
      <c r="D39" s="449"/>
      <c r="E39" s="449"/>
      <c r="F39" s="449"/>
      <c r="G39" s="449"/>
      <c r="H39" s="449"/>
      <c r="I39" s="449"/>
      <c r="J39" s="450"/>
      <c r="K39" s="80"/>
      <c r="L39" s="12" t="e">
        <f>#REF!</f>
        <v>#REF!</v>
      </c>
    </row>
    <row r="40" spans="2:20">
      <c r="B40" s="79" t="s">
        <v>12</v>
      </c>
      <c r="C40" s="448" t="e">
        <f>#REF!</f>
        <v>#REF!</v>
      </c>
      <c r="D40" s="449"/>
      <c r="E40" s="449"/>
      <c r="F40" s="449"/>
      <c r="G40" s="449"/>
      <c r="H40" s="449"/>
      <c r="I40" s="449"/>
      <c r="J40" s="450"/>
      <c r="K40" s="80"/>
      <c r="L40" s="12" t="e">
        <f>#REF!</f>
        <v>#REF!</v>
      </c>
    </row>
    <row r="41" spans="2:20">
      <c r="B41" s="79" t="s">
        <v>14</v>
      </c>
      <c r="C41" s="448" t="e">
        <f>#REF!</f>
        <v>#REF!</v>
      </c>
      <c r="D41" s="449"/>
      <c r="E41" s="449"/>
      <c r="F41" s="449"/>
      <c r="G41" s="449"/>
      <c r="H41" s="449"/>
      <c r="I41" s="449"/>
      <c r="J41" s="450"/>
      <c r="K41" s="81"/>
      <c r="L41" s="12" t="e">
        <f>#REF!</f>
        <v>#REF!</v>
      </c>
    </row>
    <row r="42" spans="2:20">
      <c r="B42" s="79" t="s">
        <v>1</v>
      </c>
      <c r="C42" s="448" t="e">
        <f>#REF!</f>
        <v>#REF!</v>
      </c>
      <c r="D42" s="449"/>
      <c r="E42" s="449"/>
      <c r="F42" s="449"/>
      <c r="G42" s="449"/>
      <c r="H42" s="449"/>
      <c r="I42" s="449"/>
      <c r="J42" s="450"/>
      <c r="K42" s="82"/>
      <c r="L42" s="12" t="e">
        <f>#REF!</f>
        <v>#REF!</v>
      </c>
    </row>
    <row r="43" spans="2:20">
      <c r="B43" s="79" t="s">
        <v>15</v>
      </c>
      <c r="C43" s="448" t="e">
        <f>#REF!</f>
        <v>#REF!</v>
      </c>
      <c r="D43" s="449"/>
      <c r="E43" s="449"/>
      <c r="F43" s="449"/>
      <c r="G43" s="449"/>
      <c r="H43" s="449"/>
      <c r="I43" s="449"/>
      <c r="J43" s="450"/>
      <c r="K43" s="82"/>
      <c r="L43" s="12" t="e">
        <f>#REF!</f>
        <v>#REF!</v>
      </c>
    </row>
    <row r="44" spans="2:20">
      <c r="B44" s="79" t="s">
        <v>16</v>
      </c>
      <c r="C44" s="458" t="s">
        <v>0</v>
      </c>
      <c r="D44" s="458"/>
      <c r="E44" s="458"/>
      <c r="F44" s="458"/>
      <c r="G44" s="458"/>
      <c r="H44" s="458"/>
      <c r="I44" s="458"/>
      <c r="J44" s="458"/>
      <c r="K44" s="458"/>
      <c r="L44" s="19">
        <v>0</v>
      </c>
    </row>
    <row r="45" spans="2:20">
      <c r="B45" s="451" t="s">
        <v>172</v>
      </c>
      <c r="C45" s="452"/>
      <c r="D45" s="452"/>
      <c r="E45" s="452"/>
      <c r="F45" s="452"/>
      <c r="G45" s="452"/>
      <c r="H45" s="452"/>
      <c r="I45" s="452"/>
      <c r="J45" s="453"/>
      <c r="K45" s="34"/>
      <c r="L45" s="12" t="e">
        <f>SUM(L37:L44)</f>
        <v>#REF!</v>
      </c>
    </row>
    <row r="46" spans="2:20">
      <c r="B46" s="93"/>
      <c r="C46" s="94"/>
      <c r="D46" s="94"/>
      <c r="E46" s="94"/>
      <c r="F46" s="94"/>
      <c r="G46" s="94"/>
      <c r="H46" s="94"/>
      <c r="I46" s="94"/>
      <c r="J46" s="95"/>
      <c r="K46" s="34"/>
      <c r="L46" s="12"/>
    </row>
    <row r="47" spans="2:20">
      <c r="B47" s="473" t="s">
        <v>173</v>
      </c>
      <c r="C47" s="473"/>
      <c r="D47" s="473"/>
      <c r="E47" s="473"/>
      <c r="F47" s="473"/>
      <c r="G47" s="473"/>
      <c r="H47" s="473"/>
      <c r="I47" s="473"/>
      <c r="J47" s="473"/>
      <c r="K47" s="473"/>
      <c r="L47" s="7" t="str">
        <f>L5</f>
        <v>SERVENTE</v>
      </c>
    </row>
    <row r="48" spans="2:20">
      <c r="B48" s="90" t="s">
        <v>174</v>
      </c>
      <c r="C48" s="448" t="s">
        <v>177</v>
      </c>
      <c r="D48" s="449"/>
      <c r="E48" s="449"/>
      <c r="F48" s="449"/>
      <c r="G48" s="449"/>
      <c r="H48" s="449"/>
      <c r="I48" s="449"/>
      <c r="J48" s="450"/>
      <c r="K48" s="80"/>
      <c r="L48" s="12" t="e">
        <f>L23</f>
        <v>#REF!</v>
      </c>
    </row>
    <row r="49" spans="2:12">
      <c r="B49" s="90" t="s">
        <v>175</v>
      </c>
      <c r="C49" s="448" t="s">
        <v>178</v>
      </c>
      <c r="D49" s="449"/>
      <c r="E49" s="449"/>
      <c r="F49" s="449"/>
      <c r="G49" s="449"/>
      <c r="H49" s="449"/>
      <c r="I49" s="449"/>
      <c r="J49" s="450"/>
      <c r="K49" s="80"/>
      <c r="L49" s="12" t="e">
        <f>L34</f>
        <v>#REF!</v>
      </c>
    </row>
    <row r="50" spans="2:12">
      <c r="B50" s="90" t="s">
        <v>176</v>
      </c>
      <c r="C50" s="448" t="s">
        <v>180</v>
      </c>
      <c r="D50" s="449"/>
      <c r="E50" s="449"/>
      <c r="F50" s="449"/>
      <c r="G50" s="449"/>
      <c r="H50" s="449"/>
      <c r="I50" s="449"/>
      <c r="J50" s="450"/>
      <c r="K50" s="80"/>
      <c r="L50" s="12" t="e">
        <f>L45</f>
        <v>#REF!</v>
      </c>
    </row>
    <row r="51" spans="2:12">
      <c r="B51" s="474" t="s">
        <v>179</v>
      </c>
      <c r="C51" s="475"/>
      <c r="D51" s="475"/>
      <c r="E51" s="475"/>
      <c r="F51" s="475"/>
      <c r="G51" s="475"/>
      <c r="H51" s="475"/>
      <c r="I51" s="475"/>
      <c r="J51" s="476"/>
      <c r="K51" s="101"/>
      <c r="L51" s="102" t="e">
        <f>SUM(L48:L50)</f>
        <v>#REF!</v>
      </c>
    </row>
    <row r="52" spans="2:12">
      <c r="B52" s="461"/>
      <c r="C52" s="462"/>
      <c r="D52" s="462"/>
      <c r="E52" s="462"/>
      <c r="F52" s="462"/>
      <c r="G52" s="462"/>
      <c r="H52" s="462"/>
      <c r="I52" s="462"/>
      <c r="J52" s="462"/>
      <c r="K52" s="462"/>
      <c r="L52" s="462"/>
    </row>
    <row r="53" spans="2:12">
      <c r="B53" s="454" t="s">
        <v>171</v>
      </c>
      <c r="C53" s="454"/>
      <c r="D53" s="454"/>
      <c r="E53" s="454"/>
      <c r="F53" s="454"/>
      <c r="G53" s="454"/>
      <c r="H53" s="454"/>
      <c r="I53" s="454"/>
      <c r="J53" s="454"/>
      <c r="K53" s="97" t="s">
        <v>9</v>
      </c>
      <c r="L53" s="98" t="s">
        <v>166</v>
      </c>
    </row>
    <row r="54" spans="2:12">
      <c r="B54" s="59" t="s">
        <v>4</v>
      </c>
      <c r="C54" s="455" t="s">
        <v>26</v>
      </c>
      <c r="D54" s="455"/>
      <c r="E54" s="455"/>
      <c r="F54" s="455"/>
      <c r="G54" s="455"/>
      <c r="H54" s="455"/>
      <c r="I54" s="38">
        <v>30</v>
      </c>
      <c r="J54" s="39">
        <v>0.05</v>
      </c>
      <c r="K54" s="34">
        <f>I54/30/12*J54</f>
        <v>4.1666666666666666E-3</v>
      </c>
      <c r="L54" s="12" t="e">
        <f t="shared" ref="L54:L59" si="0">ROUND(K54*$L$17,2)</f>
        <v>#REF!</v>
      </c>
    </row>
    <row r="55" spans="2:12">
      <c r="B55" s="59" t="s">
        <v>6</v>
      </c>
      <c r="C55" s="455" t="s">
        <v>27</v>
      </c>
      <c r="D55" s="455"/>
      <c r="E55" s="455"/>
      <c r="F55" s="455"/>
      <c r="G55" s="455"/>
      <c r="H55" s="455"/>
      <c r="I55" s="455"/>
      <c r="J55" s="455"/>
      <c r="K55" s="34">
        <f>K31*K54</f>
        <v>3.703703703703703E-4</v>
      </c>
      <c r="L55" s="12" t="e">
        <f t="shared" si="0"/>
        <v>#REF!</v>
      </c>
    </row>
    <row r="56" spans="2:12">
      <c r="B56" s="90" t="s">
        <v>10</v>
      </c>
      <c r="C56" s="455" t="s">
        <v>182</v>
      </c>
      <c r="D56" s="455"/>
      <c r="E56" s="455"/>
      <c r="F56" s="455"/>
      <c r="G56" s="455"/>
      <c r="H56" s="455"/>
      <c r="I56" s="455"/>
      <c r="J56" s="455"/>
      <c r="K56" s="34">
        <f>0.5*K55</f>
        <v>1.8518518518518515E-4</v>
      </c>
      <c r="L56" s="12" t="e">
        <f t="shared" si="0"/>
        <v>#REF!</v>
      </c>
    </row>
    <row r="57" spans="2:12">
      <c r="B57" s="90" t="s">
        <v>12</v>
      </c>
      <c r="C57" s="455" t="s">
        <v>184</v>
      </c>
      <c r="D57" s="455"/>
      <c r="E57" s="455"/>
      <c r="F57" s="455"/>
      <c r="G57" s="455"/>
      <c r="H57" s="455"/>
      <c r="I57" s="455"/>
      <c r="J57" s="455"/>
      <c r="K57" s="34">
        <v>4.0000000000000002E-4</v>
      </c>
      <c r="L57" s="12" t="e">
        <f t="shared" si="0"/>
        <v>#REF!</v>
      </c>
    </row>
    <row r="58" spans="2:12">
      <c r="B58" s="90" t="s">
        <v>14</v>
      </c>
      <c r="C58" s="455" t="s">
        <v>183</v>
      </c>
      <c r="D58" s="455"/>
      <c r="E58" s="455"/>
      <c r="F58" s="455"/>
      <c r="G58" s="455"/>
      <c r="H58" s="455"/>
      <c r="I58" s="455"/>
      <c r="J58" s="455"/>
      <c r="K58" s="34">
        <f>K34*K57</f>
        <v>1.5075555555555558E-4</v>
      </c>
      <c r="L58" s="12" t="e">
        <f t="shared" si="0"/>
        <v>#REF!</v>
      </c>
    </row>
    <row r="59" spans="2:12">
      <c r="B59" s="90" t="s">
        <v>1</v>
      </c>
      <c r="C59" s="455" t="s">
        <v>185</v>
      </c>
      <c r="D59" s="455"/>
      <c r="E59" s="455"/>
      <c r="F59" s="455"/>
      <c r="G59" s="455"/>
      <c r="H59" s="455"/>
      <c r="I59" s="455"/>
      <c r="J59" s="455"/>
      <c r="K59" s="96">
        <f>0.5*0.08*K57</f>
        <v>1.6000000000000003E-5</v>
      </c>
      <c r="L59" s="12" t="e">
        <f t="shared" si="0"/>
        <v>#REF!</v>
      </c>
    </row>
    <row r="60" spans="2:12" ht="15" customHeight="1">
      <c r="B60" s="474" t="s">
        <v>181</v>
      </c>
      <c r="C60" s="475"/>
      <c r="D60" s="475"/>
      <c r="E60" s="475"/>
      <c r="F60" s="475"/>
      <c r="G60" s="475"/>
      <c r="H60" s="475"/>
      <c r="I60" s="475"/>
      <c r="J60" s="476"/>
      <c r="K60" s="101"/>
      <c r="L60" s="102" t="e">
        <f>SUM(L54:L59)</f>
        <v>#REF!</v>
      </c>
    </row>
    <row r="61" spans="2:12">
      <c r="B61" s="20"/>
      <c r="C61" s="16"/>
      <c r="D61" s="16"/>
      <c r="E61" s="20"/>
      <c r="F61" s="20"/>
      <c r="G61" s="20"/>
      <c r="H61" s="20"/>
      <c r="I61" s="21"/>
      <c r="J61" s="22"/>
      <c r="K61" s="20"/>
    </row>
    <row r="62" spans="2:12">
      <c r="B62" s="454" t="s">
        <v>186</v>
      </c>
      <c r="C62" s="454"/>
      <c r="D62" s="454"/>
      <c r="E62" s="454"/>
      <c r="F62" s="454"/>
      <c r="G62" s="454"/>
      <c r="H62" s="454"/>
      <c r="I62" s="454"/>
      <c r="J62" s="454"/>
      <c r="K62" s="97"/>
      <c r="L62" s="98"/>
    </row>
    <row r="63" spans="2:12">
      <c r="B63" s="446" t="s">
        <v>191</v>
      </c>
      <c r="C63" s="447"/>
      <c r="D63" s="447"/>
      <c r="E63" s="447"/>
      <c r="F63" s="447"/>
      <c r="G63" s="447"/>
      <c r="H63" s="447"/>
      <c r="I63" s="447"/>
      <c r="J63" s="447"/>
      <c r="K63" s="92" t="s">
        <v>9</v>
      </c>
      <c r="L63" s="12" t="s">
        <v>166</v>
      </c>
    </row>
    <row r="64" spans="2:12">
      <c r="B64" s="59" t="s">
        <v>4</v>
      </c>
      <c r="C64" s="421" t="s">
        <v>187</v>
      </c>
      <c r="D64" s="421"/>
      <c r="E64" s="421"/>
      <c r="F64" s="421"/>
      <c r="G64" s="421"/>
      <c r="H64" s="421"/>
      <c r="I64" s="421"/>
      <c r="J64" s="421"/>
      <c r="K64" s="41">
        <f>1/12</f>
        <v>8.3333333333333329E-2</v>
      </c>
      <c r="L64" s="12" t="e">
        <f t="shared" ref="L64:L69" si="1">K64*$L$17</f>
        <v>#REF!</v>
      </c>
    </row>
    <row r="65" spans="2:13">
      <c r="B65" s="59" t="s">
        <v>6</v>
      </c>
      <c r="C65" s="455" t="s">
        <v>188</v>
      </c>
      <c r="D65" s="455"/>
      <c r="E65" s="455"/>
      <c r="F65" s="455"/>
      <c r="G65" s="456" t="s">
        <v>29</v>
      </c>
      <c r="H65" s="456"/>
      <c r="I65" s="456"/>
      <c r="J65" s="42">
        <v>3</v>
      </c>
      <c r="K65" s="41">
        <f>J65/30/12</f>
        <v>8.3333333333333332E-3</v>
      </c>
      <c r="L65" s="12" t="e">
        <f t="shared" si="1"/>
        <v>#REF!</v>
      </c>
      <c r="M65" s="1" t="s">
        <v>168</v>
      </c>
    </row>
    <row r="66" spans="2:13">
      <c r="B66" s="59" t="s">
        <v>10</v>
      </c>
      <c r="C66" s="455" t="s">
        <v>30</v>
      </c>
      <c r="D66" s="455"/>
      <c r="E66" s="455"/>
      <c r="F66" s="455"/>
      <c r="G66" s="456" t="s">
        <v>28</v>
      </c>
      <c r="H66" s="456"/>
      <c r="I66" s="36">
        <v>1.4999999999999999E-2</v>
      </c>
      <c r="J66" s="43">
        <v>5</v>
      </c>
      <c r="K66" s="41">
        <f>J66/30/12*I66</f>
        <v>2.0833333333333332E-4</v>
      </c>
      <c r="L66" s="12" t="e">
        <f t="shared" si="1"/>
        <v>#REF!</v>
      </c>
    </row>
    <row r="67" spans="2:13">
      <c r="B67" s="59" t="s">
        <v>12</v>
      </c>
      <c r="C67" s="456" t="s">
        <v>189</v>
      </c>
      <c r="D67" s="456"/>
      <c r="E67" s="456"/>
      <c r="F67" s="42"/>
      <c r="G67" s="456" t="s">
        <v>28</v>
      </c>
      <c r="H67" s="456"/>
      <c r="I67" s="36">
        <v>7.7999999999999996E-3</v>
      </c>
      <c r="J67" s="44">
        <v>15</v>
      </c>
      <c r="K67" s="41">
        <f>J67/30/12*I67</f>
        <v>3.2499999999999999E-4</v>
      </c>
      <c r="L67" s="12" t="e">
        <f t="shared" si="1"/>
        <v>#REF!</v>
      </c>
    </row>
    <row r="68" spans="2:13">
      <c r="B68" s="59" t="s">
        <v>14</v>
      </c>
      <c r="C68" s="456" t="s">
        <v>190</v>
      </c>
      <c r="D68" s="456"/>
      <c r="E68" s="456"/>
      <c r="F68" s="42"/>
      <c r="G68" s="457"/>
      <c r="H68" s="456"/>
      <c r="I68" s="36"/>
      <c r="J68" s="44"/>
      <c r="K68" s="41">
        <v>6.1000000000000004E-3</v>
      </c>
      <c r="L68" s="12" t="e">
        <f t="shared" si="1"/>
        <v>#REF!</v>
      </c>
      <c r="M68" s="64" t="s">
        <v>168</v>
      </c>
    </row>
    <row r="69" spans="2:13">
      <c r="B69" s="59" t="s">
        <v>1</v>
      </c>
      <c r="C69" s="458" t="s">
        <v>0</v>
      </c>
      <c r="D69" s="458"/>
      <c r="E69" s="458" t="s">
        <v>31</v>
      </c>
      <c r="F69" s="458"/>
      <c r="G69" s="458"/>
      <c r="H69" s="458"/>
      <c r="I69" s="458"/>
      <c r="J69" s="458"/>
      <c r="K69" s="45"/>
      <c r="L69" s="12" t="e">
        <f t="shared" si="1"/>
        <v>#REF!</v>
      </c>
      <c r="M69" s="64"/>
    </row>
    <row r="70" spans="2:13">
      <c r="B70" s="451" t="s">
        <v>192</v>
      </c>
      <c r="C70" s="452"/>
      <c r="D70" s="452"/>
      <c r="E70" s="452"/>
      <c r="F70" s="452"/>
      <c r="G70" s="452"/>
      <c r="H70" s="452"/>
      <c r="I70" s="452"/>
      <c r="J70" s="453"/>
      <c r="K70" s="46"/>
      <c r="L70" s="12" t="e">
        <f>SUM(L64:L69)</f>
        <v>#REF!</v>
      </c>
    </row>
    <row r="71" spans="2:13">
      <c r="B71" s="93"/>
      <c r="C71" s="94"/>
      <c r="D71" s="94"/>
      <c r="E71" s="94"/>
      <c r="F71" s="94"/>
      <c r="G71" s="94"/>
      <c r="H71" s="94"/>
      <c r="I71" s="94"/>
      <c r="J71" s="95"/>
      <c r="K71" s="34"/>
      <c r="L71" s="12"/>
    </row>
    <row r="72" spans="2:13">
      <c r="B72" s="446" t="s">
        <v>193</v>
      </c>
      <c r="C72" s="447"/>
      <c r="D72" s="447"/>
      <c r="E72" s="447"/>
      <c r="F72" s="447"/>
      <c r="G72" s="447"/>
      <c r="H72" s="447"/>
      <c r="I72" s="447"/>
      <c r="J72" s="447"/>
      <c r="K72" s="92" t="s">
        <v>9</v>
      </c>
      <c r="L72" s="12" t="s">
        <v>166</v>
      </c>
    </row>
    <row r="73" spans="2:13">
      <c r="B73" s="90" t="s">
        <v>4</v>
      </c>
      <c r="C73" s="421" t="s">
        <v>194</v>
      </c>
      <c r="D73" s="421"/>
      <c r="E73" s="421"/>
      <c r="F73" s="421"/>
      <c r="G73" s="421"/>
      <c r="H73" s="421"/>
      <c r="I73" s="421"/>
      <c r="J73" s="421"/>
      <c r="K73" s="41">
        <v>0</v>
      </c>
      <c r="L73" s="12" t="e">
        <f>K73*$L$17</f>
        <v>#REF!</v>
      </c>
    </row>
    <row r="74" spans="2:13">
      <c r="B74" s="451" t="s">
        <v>195</v>
      </c>
      <c r="C74" s="452"/>
      <c r="D74" s="452"/>
      <c r="E74" s="452"/>
      <c r="F74" s="452"/>
      <c r="G74" s="452"/>
      <c r="H74" s="452"/>
      <c r="I74" s="452"/>
      <c r="J74" s="453"/>
      <c r="K74" s="46"/>
      <c r="L74" s="12" t="e">
        <f>SUM(L73:L73)</f>
        <v>#REF!</v>
      </c>
    </row>
    <row r="75" spans="2:13">
      <c r="B75" s="93"/>
      <c r="C75" s="94"/>
      <c r="D75" s="94"/>
      <c r="E75" s="94"/>
      <c r="F75" s="94"/>
      <c r="G75" s="94"/>
      <c r="H75" s="94"/>
      <c r="I75" s="94"/>
      <c r="J75" s="94"/>
      <c r="K75" s="99"/>
      <c r="L75" s="12"/>
    </row>
    <row r="76" spans="2:13">
      <c r="B76" s="473" t="s">
        <v>196</v>
      </c>
      <c r="C76" s="473"/>
      <c r="D76" s="473"/>
      <c r="E76" s="473"/>
      <c r="F76" s="473"/>
      <c r="G76" s="473"/>
      <c r="H76" s="473"/>
      <c r="I76" s="473"/>
      <c r="J76" s="473"/>
      <c r="K76" s="473"/>
      <c r="L76" s="7" t="e">
        <f>L34</f>
        <v>#REF!</v>
      </c>
    </row>
    <row r="77" spans="2:13">
      <c r="B77" s="90" t="s">
        <v>197</v>
      </c>
      <c r="C77" s="448" t="s">
        <v>188</v>
      </c>
      <c r="D77" s="449"/>
      <c r="E77" s="449"/>
      <c r="F77" s="449"/>
      <c r="G77" s="449"/>
      <c r="H77" s="449"/>
      <c r="I77" s="449"/>
      <c r="J77" s="450"/>
      <c r="K77" s="80"/>
      <c r="L77" s="12" t="e">
        <f>L70</f>
        <v>#REF!</v>
      </c>
    </row>
    <row r="78" spans="2:13">
      <c r="B78" s="90" t="s">
        <v>198</v>
      </c>
      <c r="C78" s="448" t="s">
        <v>199</v>
      </c>
      <c r="D78" s="449"/>
      <c r="E78" s="449"/>
      <c r="F78" s="449"/>
      <c r="G78" s="449"/>
      <c r="H78" s="449"/>
      <c r="I78" s="449"/>
      <c r="J78" s="450"/>
      <c r="K78" s="80"/>
      <c r="L78" s="12" t="e">
        <f>L74</f>
        <v>#REF!</v>
      </c>
    </row>
    <row r="79" spans="2:13">
      <c r="B79" s="474" t="s">
        <v>200</v>
      </c>
      <c r="C79" s="475"/>
      <c r="D79" s="475"/>
      <c r="E79" s="475"/>
      <c r="F79" s="475"/>
      <c r="G79" s="475"/>
      <c r="H79" s="475"/>
      <c r="I79" s="475"/>
      <c r="J79" s="476"/>
      <c r="K79" s="101"/>
      <c r="L79" s="102" t="e">
        <f>SUM(L77:L78)</f>
        <v>#REF!</v>
      </c>
    </row>
    <row r="80" spans="2:13">
      <c r="B80" s="461"/>
      <c r="C80" s="462"/>
      <c r="D80" s="462"/>
      <c r="E80" s="462"/>
      <c r="F80" s="462"/>
      <c r="G80" s="462"/>
      <c r="H80" s="462"/>
      <c r="I80" s="462"/>
      <c r="J80" s="462"/>
      <c r="K80" s="462"/>
      <c r="L80" s="462"/>
    </row>
    <row r="81" spans="2:13">
      <c r="B81" s="454" t="s">
        <v>201</v>
      </c>
      <c r="C81" s="454"/>
      <c r="D81" s="454"/>
      <c r="E81" s="454"/>
      <c r="F81" s="454"/>
      <c r="G81" s="454"/>
      <c r="H81" s="454"/>
      <c r="I81" s="454"/>
      <c r="J81" s="454"/>
      <c r="K81" s="97"/>
      <c r="L81" s="98"/>
      <c r="M81" s="23"/>
    </row>
    <row r="82" spans="2:13">
      <c r="B82" s="59" t="s">
        <v>4</v>
      </c>
      <c r="C82" s="470" t="s">
        <v>54</v>
      </c>
      <c r="D82" s="470"/>
      <c r="E82" s="470"/>
      <c r="F82" s="470"/>
      <c r="G82" s="470"/>
      <c r="H82" s="470"/>
      <c r="I82" s="470"/>
      <c r="J82" s="470"/>
      <c r="K82" s="470"/>
      <c r="L82" s="12" t="e">
        <f>#REF!</f>
        <v>#REF!</v>
      </c>
    </row>
    <row r="83" spans="2:13">
      <c r="B83" s="59" t="s">
        <v>6</v>
      </c>
      <c r="C83" s="408" t="s">
        <v>203</v>
      </c>
      <c r="D83" s="409"/>
      <c r="E83" s="410" t="s">
        <v>55</v>
      </c>
      <c r="F83" s="411"/>
      <c r="G83" s="411"/>
      <c r="H83" s="411"/>
      <c r="I83" s="412"/>
      <c r="J83" s="471">
        <v>0.12</v>
      </c>
      <c r="K83" s="472"/>
      <c r="L83" s="19" t="e">
        <f>(L17+L51+L60+L79+L82)/(1-J83)*J83</f>
        <v>#REF!</v>
      </c>
      <c r="M83" s="24"/>
    </row>
    <row r="84" spans="2:13">
      <c r="B84" s="91" t="s">
        <v>210</v>
      </c>
      <c r="C84" s="408" t="s">
        <v>211</v>
      </c>
      <c r="D84" s="409"/>
      <c r="E84" s="410"/>
      <c r="F84" s="411"/>
      <c r="G84" s="411"/>
      <c r="H84" s="411"/>
      <c r="I84" s="412"/>
      <c r="J84" s="413">
        <f>H95+H96</f>
        <v>9.2499999999999999E-2</v>
      </c>
      <c r="K84" s="414"/>
      <c r="L84" s="19" t="e">
        <f>-J84*L83</f>
        <v>#REF!</v>
      </c>
      <c r="M84" s="24"/>
    </row>
    <row r="85" spans="2:13">
      <c r="B85" s="90" t="s">
        <v>10</v>
      </c>
      <c r="C85" s="83" t="s">
        <v>202</v>
      </c>
      <c r="D85" s="84"/>
      <c r="E85" s="85"/>
      <c r="F85" s="86"/>
      <c r="G85" s="86"/>
      <c r="H85" s="86"/>
      <c r="I85" s="87"/>
      <c r="J85" s="88"/>
      <c r="K85" s="89"/>
      <c r="L85" s="19"/>
      <c r="M85" s="24"/>
    </row>
    <row r="86" spans="2:13">
      <c r="B86" s="59" t="s">
        <v>204</v>
      </c>
      <c r="C86" s="458" t="s">
        <v>0</v>
      </c>
      <c r="D86" s="458"/>
      <c r="E86" s="458"/>
      <c r="F86" s="458"/>
      <c r="G86" s="458"/>
      <c r="H86" s="458"/>
      <c r="I86" s="458"/>
      <c r="J86" s="458"/>
      <c r="K86" s="458"/>
      <c r="L86" s="19">
        <v>0</v>
      </c>
    </row>
    <row r="87" spans="2:13">
      <c r="B87" s="474" t="s">
        <v>207</v>
      </c>
      <c r="C87" s="475"/>
      <c r="D87" s="475"/>
      <c r="E87" s="475"/>
      <c r="F87" s="475"/>
      <c r="G87" s="475"/>
      <c r="H87" s="475"/>
      <c r="I87" s="475"/>
      <c r="J87" s="476"/>
      <c r="K87" s="101"/>
      <c r="L87" s="102" t="e">
        <f>SUM(L82:L86)</f>
        <v>#REF!</v>
      </c>
    </row>
    <row r="88" spans="2:13">
      <c r="B88" s="25"/>
      <c r="C88" s="25"/>
      <c r="D88" s="25"/>
      <c r="E88" s="25"/>
      <c r="F88" s="25"/>
      <c r="G88" s="25"/>
      <c r="H88" s="25"/>
      <c r="I88" s="37"/>
      <c r="J88" s="25"/>
      <c r="K88" s="25"/>
    </row>
    <row r="89" spans="2:13">
      <c r="B89" s="16"/>
      <c r="C89" s="16"/>
      <c r="D89" s="16"/>
      <c r="E89" s="16"/>
      <c r="F89" s="16"/>
      <c r="G89" s="16"/>
      <c r="H89" s="48"/>
      <c r="I89" s="48"/>
      <c r="J89" s="48"/>
      <c r="K89" s="48"/>
      <c r="L89" s="49"/>
    </row>
    <row r="90" spans="2:13">
      <c r="B90" s="454" t="s">
        <v>205</v>
      </c>
      <c r="C90" s="454"/>
      <c r="D90" s="454"/>
      <c r="E90" s="454"/>
      <c r="F90" s="454"/>
      <c r="G90" s="454"/>
      <c r="H90" s="454"/>
      <c r="I90" s="454"/>
      <c r="J90" s="454"/>
      <c r="K90" s="97"/>
      <c r="L90" s="98" t="str">
        <f>L5</f>
        <v>SERVENTE</v>
      </c>
    </row>
    <row r="91" spans="2:13">
      <c r="B91" s="59" t="s">
        <v>4</v>
      </c>
      <c r="C91" s="421" t="s">
        <v>206</v>
      </c>
      <c r="D91" s="421"/>
      <c r="E91" s="421"/>
      <c r="F91" s="421"/>
      <c r="G91" s="421"/>
      <c r="H91" s="421"/>
      <c r="I91" s="421"/>
      <c r="J91" s="421"/>
      <c r="K91" s="65">
        <v>0.05</v>
      </c>
      <c r="L91" s="28" t="e">
        <f>K91*L110</f>
        <v>#REF!</v>
      </c>
      <c r="M91" s="50"/>
    </row>
    <row r="92" spans="2:13">
      <c r="B92" s="59" t="s">
        <v>6</v>
      </c>
      <c r="C92" s="421" t="s">
        <v>32</v>
      </c>
      <c r="D92" s="421"/>
      <c r="E92" s="421"/>
      <c r="F92" s="421"/>
      <c r="G92" s="421"/>
      <c r="H92" s="421"/>
      <c r="I92" s="421"/>
      <c r="J92" s="421"/>
      <c r="K92" s="65">
        <v>6.8099999999999994E-2</v>
      </c>
      <c r="L92" s="28" t="e">
        <f>K92*L110</f>
        <v>#REF!</v>
      </c>
      <c r="M92" s="50"/>
    </row>
    <row r="93" spans="2:13">
      <c r="B93" s="427" t="s">
        <v>10</v>
      </c>
      <c r="C93" s="435" t="s">
        <v>33</v>
      </c>
      <c r="D93" s="436"/>
      <c r="E93" s="436"/>
      <c r="F93" s="436"/>
      <c r="G93" s="436"/>
      <c r="H93" s="436"/>
      <c r="I93" s="437"/>
      <c r="J93" s="438" t="e">
        <f>L110+L91+L92</f>
        <v>#REF!</v>
      </c>
      <c r="K93" s="439"/>
      <c r="L93" s="47"/>
    </row>
    <row r="94" spans="2:13">
      <c r="B94" s="427"/>
      <c r="C94" s="440" t="s">
        <v>34</v>
      </c>
      <c r="D94" s="441"/>
      <c r="E94" s="441"/>
      <c r="F94" s="442"/>
      <c r="G94" s="40"/>
      <c r="H94" s="40" t="s">
        <v>35</v>
      </c>
      <c r="I94" s="40"/>
      <c r="J94" s="443"/>
      <c r="K94" s="444"/>
      <c r="L94" s="47"/>
    </row>
    <row r="95" spans="2:13">
      <c r="B95" s="427"/>
      <c r="C95" s="434" t="s">
        <v>36</v>
      </c>
      <c r="D95" s="434"/>
      <c r="E95" s="434"/>
      <c r="F95" s="434"/>
      <c r="G95" s="66" t="s">
        <v>37</v>
      </c>
      <c r="H95" s="35">
        <v>1.6500000000000001E-2</v>
      </c>
      <c r="I95" s="445">
        <f>SUM(H95:H100)</f>
        <v>0.13250000000000001</v>
      </c>
      <c r="J95" s="432" t="e">
        <f t="shared" ref="J95:J100" si="2">ROUND($L$112*H95,2)</f>
        <v>#REF!</v>
      </c>
      <c r="K95" s="433"/>
      <c r="L95" s="429" t="e">
        <f>SUM(J95:K100)</f>
        <v>#REF!</v>
      </c>
    </row>
    <row r="96" spans="2:13">
      <c r="B96" s="427"/>
      <c r="C96" s="434"/>
      <c r="D96" s="434"/>
      <c r="E96" s="434"/>
      <c r="F96" s="434"/>
      <c r="G96" s="66" t="s">
        <v>38</v>
      </c>
      <c r="H96" s="35">
        <v>7.5999999999999998E-2</v>
      </c>
      <c r="I96" s="445"/>
      <c r="J96" s="432" t="e">
        <f t="shared" si="2"/>
        <v>#REF!</v>
      </c>
      <c r="K96" s="433"/>
      <c r="L96" s="430"/>
    </row>
    <row r="97" spans="2:12">
      <c r="B97" s="427"/>
      <c r="C97" s="434"/>
      <c r="D97" s="434"/>
      <c r="E97" s="434"/>
      <c r="F97" s="434"/>
      <c r="G97" s="66" t="s">
        <v>39</v>
      </c>
      <c r="H97" s="35">
        <v>0</v>
      </c>
      <c r="I97" s="445"/>
      <c r="J97" s="432" t="e">
        <f t="shared" si="2"/>
        <v>#REF!</v>
      </c>
      <c r="K97" s="433"/>
      <c r="L97" s="430"/>
    </row>
    <row r="98" spans="2:12">
      <c r="B98" s="427"/>
      <c r="C98" s="434" t="s">
        <v>40</v>
      </c>
      <c r="D98" s="434"/>
      <c r="E98" s="434"/>
      <c r="F98" s="434"/>
      <c r="G98" s="67" t="s">
        <v>41</v>
      </c>
      <c r="H98" s="35">
        <v>0.04</v>
      </c>
      <c r="I98" s="445"/>
      <c r="J98" s="432" t="e">
        <f t="shared" si="2"/>
        <v>#REF!</v>
      </c>
      <c r="K98" s="433"/>
      <c r="L98" s="430"/>
    </row>
    <row r="99" spans="2:12">
      <c r="B99" s="427"/>
      <c r="C99" s="434"/>
      <c r="D99" s="434"/>
      <c r="E99" s="434"/>
      <c r="F99" s="434"/>
      <c r="G99" s="67" t="s">
        <v>39</v>
      </c>
      <c r="H99" s="35">
        <v>0</v>
      </c>
      <c r="I99" s="445"/>
      <c r="J99" s="432" t="e">
        <f t="shared" si="2"/>
        <v>#REF!</v>
      </c>
      <c r="K99" s="433"/>
      <c r="L99" s="430"/>
    </row>
    <row r="100" spans="2:12">
      <c r="B100" s="427"/>
      <c r="C100" s="434" t="s">
        <v>42</v>
      </c>
      <c r="D100" s="434"/>
      <c r="E100" s="434"/>
      <c r="F100" s="434"/>
      <c r="G100" s="67"/>
      <c r="H100" s="35">
        <v>0</v>
      </c>
      <c r="I100" s="445"/>
      <c r="J100" s="432" t="e">
        <f t="shared" si="2"/>
        <v>#REF!</v>
      </c>
      <c r="K100" s="433"/>
      <c r="L100" s="431"/>
    </row>
    <row r="101" spans="2:12">
      <c r="B101" s="427" t="s">
        <v>43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60" t="e">
        <f>L95+L92+L91</f>
        <v>#REF!</v>
      </c>
    </row>
    <row r="102" spans="2:12">
      <c r="B102" s="51"/>
      <c r="C102" s="51"/>
      <c r="D102" s="51"/>
      <c r="E102" s="51"/>
      <c r="F102" s="51"/>
      <c r="G102" s="51"/>
      <c r="H102" s="51"/>
      <c r="I102" s="52"/>
      <c r="J102" s="53"/>
      <c r="K102" s="51"/>
    </row>
    <row r="103" spans="2:12">
      <c r="B103" s="428" t="s">
        <v>44</v>
      </c>
      <c r="C103" s="428"/>
      <c r="D103" s="428"/>
      <c r="E103" s="428"/>
      <c r="F103" s="428"/>
      <c r="G103" s="428"/>
      <c r="H103" s="428"/>
      <c r="I103" s="428"/>
      <c r="J103" s="428"/>
      <c r="K103" s="428"/>
      <c r="L103" s="428"/>
    </row>
    <row r="104" spans="2:12">
      <c r="B104" s="422" t="s">
        <v>45</v>
      </c>
      <c r="C104" s="422"/>
      <c r="D104" s="422"/>
      <c r="E104" s="422"/>
      <c r="F104" s="422"/>
      <c r="G104" s="422"/>
      <c r="H104" s="422"/>
      <c r="I104" s="422"/>
      <c r="J104" s="422"/>
      <c r="K104" s="422"/>
      <c r="L104" s="7" t="str">
        <f>L5</f>
        <v>SERVENTE</v>
      </c>
    </row>
    <row r="105" spans="2:12">
      <c r="B105" s="59" t="s">
        <v>4</v>
      </c>
      <c r="C105" s="421" t="str">
        <f>B6</f>
        <v xml:space="preserve">MÓDULO 01 – Composição da Remuneração </v>
      </c>
      <c r="D105" s="421"/>
      <c r="E105" s="421"/>
      <c r="F105" s="421"/>
      <c r="G105" s="421"/>
      <c r="H105" s="421"/>
      <c r="I105" s="421"/>
      <c r="J105" s="421"/>
      <c r="K105" s="421"/>
      <c r="L105" s="54" t="e">
        <f>L17</f>
        <v>#REF!</v>
      </c>
    </row>
    <row r="106" spans="2:12">
      <c r="B106" s="59" t="s">
        <v>6</v>
      </c>
      <c r="C106" s="421" t="str">
        <f>B19</f>
        <v>MÓDULO 2 – ENCARGOS E BENEFÍCIOS ANUAIS, MENSAIS E DIÁRIOS</v>
      </c>
      <c r="D106" s="421"/>
      <c r="E106" s="421"/>
      <c r="F106" s="421"/>
      <c r="G106" s="421"/>
      <c r="H106" s="421"/>
      <c r="I106" s="421"/>
      <c r="J106" s="421"/>
      <c r="K106" s="421"/>
      <c r="L106" s="54" t="e">
        <f>L51</f>
        <v>#REF!</v>
      </c>
    </row>
    <row r="107" spans="2:12">
      <c r="B107" s="59" t="s">
        <v>10</v>
      </c>
      <c r="C107" s="421" t="str">
        <f>B53</f>
        <v>MÓDULO 3 – PROVISÃO PARA RESCISÃO</v>
      </c>
      <c r="D107" s="421"/>
      <c r="E107" s="421"/>
      <c r="F107" s="421"/>
      <c r="G107" s="421"/>
      <c r="H107" s="421"/>
      <c r="I107" s="421"/>
      <c r="J107" s="421"/>
      <c r="K107" s="421"/>
      <c r="L107" s="54" t="e">
        <f>L60</f>
        <v>#REF!</v>
      </c>
    </row>
    <row r="108" spans="2:12">
      <c r="B108" s="59" t="s">
        <v>12</v>
      </c>
      <c r="C108" s="421" t="str">
        <f>B62</f>
        <v>MÓDULO 4 – CUSTO DE REPOSIÇÃO DO PROFISSIONAL AUSENTE</v>
      </c>
      <c r="D108" s="421"/>
      <c r="E108" s="421"/>
      <c r="F108" s="421"/>
      <c r="G108" s="421"/>
      <c r="H108" s="421"/>
      <c r="I108" s="421"/>
      <c r="J108" s="421"/>
      <c r="K108" s="421"/>
      <c r="L108" s="54" t="e">
        <f>L79</f>
        <v>#REF!</v>
      </c>
    </row>
    <row r="109" spans="2:12">
      <c r="B109" s="90" t="s">
        <v>14</v>
      </c>
      <c r="C109" s="421" t="str">
        <f>B81</f>
        <v>MÓDULO 5 – INSUMOS DIVERSOS</v>
      </c>
      <c r="D109" s="421"/>
      <c r="E109" s="421"/>
      <c r="F109" s="421"/>
      <c r="G109" s="421"/>
      <c r="H109" s="421"/>
      <c r="I109" s="421"/>
      <c r="J109" s="421"/>
      <c r="K109" s="421"/>
      <c r="L109" s="54" t="e">
        <f>L87</f>
        <v>#REF!</v>
      </c>
    </row>
    <row r="110" spans="2:12">
      <c r="B110" s="422" t="s">
        <v>209</v>
      </c>
      <c r="C110" s="422"/>
      <c r="D110" s="422"/>
      <c r="E110" s="422"/>
      <c r="F110" s="422"/>
      <c r="G110" s="422"/>
      <c r="H110" s="422"/>
      <c r="I110" s="422"/>
      <c r="J110" s="422"/>
      <c r="K110" s="422"/>
      <c r="L110" s="61" t="e">
        <f>SUM(L105:L109)</f>
        <v>#REF!</v>
      </c>
    </row>
    <row r="111" spans="2:12">
      <c r="B111" s="59" t="s">
        <v>14</v>
      </c>
      <c r="C111" s="421" t="s">
        <v>46</v>
      </c>
      <c r="D111" s="421"/>
      <c r="E111" s="421"/>
      <c r="F111" s="421"/>
      <c r="G111" s="421"/>
      <c r="H111" s="421"/>
      <c r="I111" s="421"/>
      <c r="J111" s="421"/>
      <c r="K111" s="421"/>
      <c r="L111" s="55" t="e">
        <f>L112-L110</f>
        <v>#REF!</v>
      </c>
    </row>
    <row r="112" spans="2:12">
      <c r="B112" s="423" t="s">
        <v>47</v>
      </c>
      <c r="C112" s="423"/>
      <c r="D112" s="423"/>
      <c r="E112" s="423"/>
      <c r="F112" s="423"/>
      <c r="G112" s="423"/>
      <c r="H112" s="423"/>
      <c r="I112" s="423"/>
      <c r="J112" s="423"/>
      <c r="K112" s="423"/>
      <c r="L112" s="62" t="e">
        <f>ROUND(J93/(1-$I$95),2)</f>
        <v>#REF!</v>
      </c>
    </row>
    <row r="113" spans="6:12">
      <c r="K113" s="50"/>
    </row>
    <row r="115" spans="6:12">
      <c r="F115" s="424" t="s">
        <v>48</v>
      </c>
      <c r="G115" s="425"/>
      <c r="H115" s="425"/>
      <c r="I115" s="426"/>
      <c r="J115" s="1"/>
      <c r="L115" s="1"/>
    </row>
    <row r="116" spans="6:12">
      <c r="F116" s="424" t="s">
        <v>49</v>
      </c>
      <c r="G116" s="425"/>
      <c r="H116" s="426"/>
      <c r="I116" s="56" t="s">
        <v>9</v>
      </c>
      <c r="J116" s="1"/>
      <c r="L116" s="1"/>
    </row>
    <row r="117" spans="6:12">
      <c r="F117" s="57" t="s">
        <v>50</v>
      </c>
      <c r="G117" s="57"/>
      <c r="H117" s="58"/>
      <c r="I117" s="58">
        <f>K91</f>
        <v>0.05</v>
      </c>
      <c r="J117" s="1"/>
      <c r="L117" s="1"/>
    </row>
    <row r="118" spans="6:12">
      <c r="F118" s="415" t="s">
        <v>32</v>
      </c>
      <c r="G118" s="416"/>
      <c r="H118" s="417"/>
      <c r="I118" s="58">
        <f>K92</f>
        <v>6.8099999999999994E-2</v>
      </c>
      <c r="J118" s="1"/>
      <c r="L118" s="1"/>
    </row>
    <row r="119" spans="6:12">
      <c r="F119" s="57" t="s">
        <v>51</v>
      </c>
      <c r="G119" s="57"/>
      <c r="H119" s="58"/>
      <c r="I119" s="58">
        <f>I95</f>
        <v>0.13250000000000001</v>
      </c>
      <c r="J119" s="1"/>
      <c r="L119" s="1"/>
    </row>
    <row r="120" spans="6:12">
      <c r="F120" s="418" t="s">
        <v>52</v>
      </c>
      <c r="G120" s="419"/>
      <c r="H120" s="420"/>
      <c r="I120" s="58">
        <f>(1+I117)*(1+I118)/(1-I119)-1</f>
        <v>0.29280115273775253</v>
      </c>
      <c r="J120" s="1"/>
      <c r="L120" s="1"/>
    </row>
  </sheetData>
  <mergeCells count="126">
    <mergeCell ref="B76:K76"/>
    <mergeCell ref="C77:J77"/>
    <mergeCell ref="B79:J79"/>
    <mergeCell ref="B80:L80"/>
    <mergeCell ref="B81:J81"/>
    <mergeCell ref="B90:J90"/>
    <mergeCell ref="B87:J87"/>
    <mergeCell ref="B20:J20"/>
    <mergeCell ref="B23:J23"/>
    <mergeCell ref="C21:J21"/>
    <mergeCell ref="C22:J22"/>
    <mergeCell ref="B25:J25"/>
    <mergeCell ref="B34:J34"/>
    <mergeCell ref="B36:J36"/>
    <mergeCell ref="C37:J37"/>
    <mergeCell ref="C38:J38"/>
    <mergeCell ref="C39:J39"/>
    <mergeCell ref="C40:J40"/>
    <mergeCell ref="C41:J41"/>
    <mergeCell ref="C42:J42"/>
    <mergeCell ref="C43:J43"/>
    <mergeCell ref="B45:J45"/>
    <mergeCell ref="I56:J56"/>
    <mergeCell ref="C28:J28"/>
    <mergeCell ref="C10:I10"/>
    <mergeCell ref="C11:I11"/>
    <mergeCell ref="C12:I12"/>
    <mergeCell ref="C13:I13"/>
    <mergeCell ref="B19:K19"/>
    <mergeCell ref="C14:I14"/>
    <mergeCell ref="C15:K15"/>
    <mergeCell ref="C16:K16"/>
    <mergeCell ref="B17:K17"/>
    <mergeCell ref="B2:L2"/>
    <mergeCell ref="B3:L4"/>
    <mergeCell ref="B6:L6"/>
    <mergeCell ref="C7:K7"/>
    <mergeCell ref="C9:E9"/>
    <mergeCell ref="F9:I9"/>
    <mergeCell ref="C8:K8"/>
    <mergeCell ref="C86:K86"/>
    <mergeCell ref="C26:J26"/>
    <mergeCell ref="C27:J27"/>
    <mergeCell ref="C44:K44"/>
    <mergeCell ref="C82:K82"/>
    <mergeCell ref="C83:D83"/>
    <mergeCell ref="E83:I83"/>
    <mergeCell ref="J83:K83"/>
    <mergeCell ref="B47:K47"/>
    <mergeCell ref="C48:J48"/>
    <mergeCell ref="C49:J49"/>
    <mergeCell ref="C50:J50"/>
    <mergeCell ref="B51:J51"/>
    <mergeCell ref="B60:J60"/>
    <mergeCell ref="C55:H55"/>
    <mergeCell ref="I55:J55"/>
    <mergeCell ref="C56:H56"/>
    <mergeCell ref="B63:J63"/>
    <mergeCell ref="C29:J29"/>
    <mergeCell ref="C30:J30"/>
    <mergeCell ref="C32:F32"/>
    <mergeCell ref="C33:J33"/>
    <mergeCell ref="C31:D31"/>
    <mergeCell ref="E31:F31"/>
    <mergeCell ref="G31:J31"/>
    <mergeCell ref="C57:H57"/>
    <mergeCell ref="I57:J57"/>
    <mergeCell ref="B52:L52"/>
    <mergeCell ref="C91:J91"/>
    <mergeCell ref="C92:J92"/>
    <mergeCell ref="B72:J72"/>
    <mergeCell ref="C73:J73"/>
    <mergeCell ref="C78:J78"/>
    <mergeCell ref="B74:J74"/>
    <mergeCell ref="B62:J62"/>
    <mergeCell ref="C64:J64"/>
    <mergeCell ref="B53:J53"/>
    <mergeCell ref="C54:H54"/>
    <mergeCell ref="C65:F65"/>
    <mergeCell ref="G65:I65"/>
    <mergeCell ref="C66:F66"/>
    <mergeCell ref="G66:H66"/>
    <mergeCell ref="G68:H68"/>
    <mergeCell ref="C69:J69"/>
    <mergeCell ref="C58:H58"/>
    <mergeCell ref="I58:J58"/>
    <mergeCell ref="C59:H59"/>
    <mergeCell ref="I59:J59"/>
    <mergeCell ref="G67:H67"/>
    <mergeCell ref="C67:E67"/>
    <mergeCell ref="C68:E68"/>
    <mergeCell ref="B70:J70"/>
    <mergeCell ref="C100:F100"/>
    <mergeCell ref="J100:K100"/>
    <mergeCell ref="B93:B100"/>
    <mergeCell ref="C93:I93"/>
    <mergeCell ref="J93:K93"/>
    <mergeCell ref="C94:F94"/>
    <mergeCell ref="J94:K94"/>
    <mergeCell ref="C95:F97"/>
    <mergeCell ref="I95:I100"/>
    <mergeCell ref="J95:K95"/>
    <mergeCell ref="C84:D84"/>
    <mergeCell ref="E84:I84"/>
    <mergeCell ref="J84:K84"/>
    <mergeCell ref="F118:H118"/>
    <mergeCell ref="F120:H120"/>
    <mergeCell ref="C108:K108"/>
    <mergeCell ref="B110:K110"/>
    <mergeCell ref="C111:K111"/>
    <mergeCell ref="B112:K112"/>
    <mergeCell ref="F115:I115"/>
    <mergeCell ref="F116:H116"/>
    <mergeCell ref="B101:K101"/>
    <mergeCell ref="B103:L103"/>
    <mergeCell ref="B104:K104"/>
    <mergeCell ref="C105:K105"/>
    <mergeCell ref="C106:K106"/>
    <mergeCell ref="C107:K107"/>
    <mergeCell ref="C109:K109"/>
    <mergeCell ref="L95:L100"/>
    <mergeCell ref="J96:K96"/>
    <mergeCell ref="J97:K97"/>
    <mergeCell ref="C98:F99"/>
    <mergeCell ref="J98:K98"/>
    <mergeCell ref="J99:K99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120"/>
  <sheetViews>
    <sheetView workbookViewId="0">
      <selection activeCell="G85" sqref="G85"/>
    </sheetView>
  </sheetViews>
  <sheetFormatPr defaultColWidth="11.85546875" defaultRowHeight="15"/>
  <cols>
    <col min="1" max="1" width="6.28515625" style="1" customWidth="1"/>
    <col min="2" max="2" width="4.5703125" style="1" customWidth="1"/>
    <col min="3" max="3" width="9" style="1" customWidth="1"/>
    <col min="4" max="4" width="25" style="1" customWidth="1"/>
    <col min="5" max="5" width="4.7109375" style="1" bestFit="1" customWidth="1"/>
    <col min="6" max="6" width="9" style="1" bestFit="1" customWidth="1"/>
    <col min="7" max="7" width="10.42578125" style="1" customWidth="1"/>
    <col min="8" max="8" width="10.7109375" style="1" customWidth="1"/>
    <col min="9" max="9" width="16.7109375" style="32" customWidth="1"/>
    <col min="10" max="10" width="9" style="33" bestFit="1" customWidth="1"/>
    <col min="11" max="11" width="9.140625" style="1" bestFit="1" customWidth="1"/>
    <col min="12" max="12" width="12.7109375" style="18" bestFit="1" customWidth="1"/>
    <col min="13" max="13" width="13.28515625" style="1" bestFit="1" customWidth="1"/>
    <col min="14" max="16384" width="11.85546875" style="1"/>
  </cols>
  <sheetData>
    <row r="2" spans="2:13">
      <c r="B2" s="463" t="s">
        <v>2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</row>
    <row r="3" spans="2:13" s="2" customFormat="1">
      <c r="B3" s="464" t="e">
        <f>#REF!</f>
        <v>#REF!</v>
      </c>
      <c r="C3" s="465"/>
      <c r="D3" s="465"/>
      <c r="E3" s="465"/>
      <c r="F3" s="465"/>
      <c r="G3" s="465"/>
      <c r="H3" s="465"/>
      <c r="I3" s="465"/>
      <c r="J3" s="465"/>
      <c r="K3" s="465"/>
      <c r="L3" s="466"/>
    </row>
    <row r="4" spans="2:13" s="2" customFormat="1">
      <c r="B4" s="467"/>
      <c r="C4" s="468"/>
      <c r="D4" s="468"/>
      <c r="E4" s="468"/>
      <c r="F4" s="468"/>
      <c r="G4" s="468"/>
      <c r="H4" s="468"/>
      <c r="I4" s="468"/>
      <c r="J4" s="468"/>
      <c r="K4" s="468"/>
      <c r="L4" s="469"/>
    </row>
    <row r="5" spans="2:13">
      <c r="B5" s="3"/>
      <c r="C5" s="4"/>
      <c r="D5" s="4"/>
      <c r="E5" s="4"/>
      <c r="F5" s="4"/>
      <c r="G5" s="4"/>
      <c r="H5" s="4"/>
      <c r="I5" s="5"/>
      <c r="J5" s="4"/>
      <c r="K5" s="6"/>
      <c r="L5" s="7" t="s">
        <v>53</v>
      </c>
    </row>
    <row r="6" spans="2:13">
      <c r="B6" s="454" t="s">
        <v>3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</row>
    <row r="7" spans="2:13">
      <c r="B7" s="59" t="s">
        <v>4</v>
      </c>
      <c r="C7" s="421" t="s">
        <v>5</v>
      </c>
      <c r="D7" s="421"/>
      <c r="E7" s="421"/>
      <c r="F7" s="421"/>
      <c r="G7" s="421"/>
      <c r="H7" s="421"/>
      <c r="I7" s="421"/>
      <c r="J7" s="421"/>
      <c r="K7" s="421"/>
      <c r="L7" s="9" t="e">
        <f>#REF!</f>
        <v>#REF!</v>
      </c>
    </row>
    <row r="8" spans="2:13">
      <c r="B8" s="79" t="s">
        <v>154</v>
      </c>
      <c r="C8" s="421" t="s">
        <v>155</v>
      </c>
      <c r="D8" s="421"/>
      <c r="E8" s="421"/>
      <c r="F8" s="421"/>
      <c r="G8" s="421"/>
      <c r="H8" s="421"/>
      <c r="I8" s="421"/>
      <c r="J8" s="421"/>
      <c r="K8" s="421"/>
      <c r="L8" s="9"/>
    </row>
    <row r="9" spans="2:13">
      <c r="B9" s="59" t="s">
        <v>6</v>
      </c>
      <c r="C9" s="421" t="s">
        <v>7</v>
      </c>
      <c r="D9" s="421"/>
      <c r="E9" s="421"/>
      <c r="F9" s="455" t="s">
        <v>8</v>
      </c>
      <c r="G9" s="455"/>
      <c r="H9" s="455"/>
      <c r="I9" s="455"/>
      <c r="J9" s="10" t="s">
        <v>9</v>
      </c>
      <c r="K9" s="11">
        <v>0</v>
      </c>
      <c r="L9" s="12">
        <v>0</v>
      </c>
      <c r="M9" s="13"/>
    </row>
    <row r="10" spans="2:13">
      <c r="B10" s="90" t="s">
        <v>10</v>
      </c>
      <c r="C10" s="448" t="s">
        <v>160</v>
      </c>
      <c r="D10" s="449"/>
      <c r="E10" s="449"/>
      <c r="F10" s="449"/>
      <c r="G10" s="449"/>
      <c r="H10" s="449"/>
      <c r="I10" s="450"/>
      <c r="J10" s="10" t="s">
        <v>9</v>
      </c>
      <c r="K10" s="11">
        <v>0</v>
      </c>
      <c r="L10" s="12">
        <v>0</v>
      </c>
      <c r="M10" s="13"/>
    </row>
    <row r="11" spans="2:13">
      <c r="B11" s="90" t="s">
        <v>12</v>
      </c>
      <c r="C11" s="448" t="s">
        <v>157</v>
      </c>
      <c r="D11" s="449"/>
      <c r="E11" s="449"/>
      <c r="F11" s="449"/>
      <c r="G11" s="449"/>
      <c r="H11" s="449"/>
      <c r="I11" s="450"/>
      <c r="J11" s="10" t="s">
        <v>9</v>
      </c>
      <c r="K11" s="11">
        <v>0</v>
      </c>
      <c r="L11" s="12">
        <v>0</v>
      </c>
      <c r="M11" s="13"/>
    </row>
    <row r="12" spans="2:13">
      <c r="B12" s="90" t="s">
        <v>14</v>
      </c>
      <c r="C12" s="448" t="s">
        <v>158</v>
      </c>
      <c r="D12" s="449"/>
      <c r="E12" s="449"/>
      <c r="F12" s="449"/>
      <c r="G12" s="449"/>
      <c r="H12" s="449"/>
      <c r="I12" s="450"/>
      <c r="J12" s="10" t="s">
        <v>9</v>
      </c>
      <c r="K12" s="11">
        <v>0</v>
      </c>
      <c r="L12" s="12">
        <v>0</v>
      </c>
      <c r="M12" s="13"/>
    </row>
    <row r="13" spans="2:13">
      <c r="B13" s="90" t="s">
        <v>1</v>
      </c>
      <c r="C13" s="448" t="s">
        <v>159</v>
      </c>
      <c r="D13" s="449"/>
      <c r="E13" s="449"/>
      <c r="F13" s="449"/>
      <c r="G13" s="449"/>
      <c r="H13" s="449"/>
      <c r="I13" s="450"/>
      <c r="J13" s="10" t="s">
        <v>9</v>
      </c>
      <c r="K13" s="11">
        <v>0</v>
      </c>
      <c r="L13" s="12">
        <v>0</v>
      </c>
      <c r="M13" s="13"/>
    </row>
    <row r="14" spans="2:13">
      <c r="B14" s="90" t="s">
        <v>15</v>
      </c>
      <c r="C14" s="477" t="s">
        <v>11</v>
      </c>
      <c r="D14" s="477"/>
      <c r="E14" s="477"/>
      <c r="F14" s="477"/>
      <c r="G14" s="477"/>
      <c r="H14" s="477"/>
      <c r="I14" s="477"/>
      <c r="J14" s="10" t="s">
        <v>9</v>
      </c>
      <c r="K14" s="14">
        <v>0</v>
      </c>
      <c r="L14" s="12">
        <v>0</v>
      </c>
      <c r="M14" s="13"/>
    </row>
    <row r="15" spans="2:13">
      <c r="B15" s="90" t="s">
        <v>16</v>
      </c>
      <c r="C15" s="478" t="s">
        <v>13</v>
      </c>
      <c r="D15" s="478"/>
      <c r="E15" s="478"/>
      <c r="F15" s="478"/>
      <c r="G15" s="478"/>
      <c r="H15" s="478"/>
      <c r="I15" s="478"/>
      <c r="J15" s="478"/>
      <c r="K15" s="478"/>
      <c r="L15" s="12">
        <v>0</v>
      </c>
      <c r="M15" s="13"/>
    </row>
    <row r="16" spans="2:13">
      <c r="B16" s="90" t="s">
        <v>156</v>
      </c>
      <c r="C16" s="458" t="s">
        <v>0</v>
      </c>
      <c r="D16" s="458"/>
      <c r="E16" s="458"/>
      <c r="F16" s="458"/>
      <c r="G16" s="458"/>
      <c r="H16" s="458"/>
      <c r="I16" s="458"/>
      <c r="J16" s="458"/>
      <c r="K16" s="458"/>
      <c r="L16" s="12"/>
      <c r="M16" s="13"/>
    </row>
    <row r="17" spans="2:13">
      <c r="B17" s="479" t="s">
        <v>208</v>
      </c>
      <c r="C17" s="479"/>
      <c r="D17" s="479"/>
      <c r="E17" s="479"/>
      <c r="F17" s="479"/>
      <c r="G17" s="479"/>
      <c r="H17" s="479"/>
      <c r="I17" s="479"/>
      <c r="J17" s="479"/>
      <c r="K17" s="479"/>
      <c r="L17" s="100" t="e">
        <f>SUM(L7:L16)</f>
        <v>#REF!</v>
      </c>
      <c r="M17" s="15"/>
    </row>
    <row r="18" spans="2:13">
      <c r="B18" s="16"/>
      <c r="C18" s="16"/>
      <c r="D18" s="16"/>
      <c r="E18" s="16"/>
      <c r="F18" s="16"/>
      <c r="G18" s="16"/>
      <c r="H18" s="16"/>
      <c r="I18" s="17"/>
      <c r="J18" s="16"/>
      <c r="K18" s="16"/>
    </row>
    <row r="19" spans="2:13">
      <c r="B19" s="454" t="s">
        <v>161</v>
      </c>
      <c r="C19" s="454"/>
      <c r="D19" s="454"/>
      <c r="E19" s="454"/>
      <c r="F19" s="454"/>
      <c r="G19" s="454"/>
      <c r="H19" s="454"/>
      <c r="I19" s="454"/>
      <c r="J19" s="454"/>
      <c r="K19" s="454"/>
      <c r="L19" s="7" t="str">
        <f>L5</f>
        <v>SERVENTE</v>
      </c>
    </row>
    <row r="20" spans="2:13">
      <c r="B20" s="446" t="s">
        <v>162</v>
      </c>
      <c r="C20" s="447"/>
      <c r="D20" s="447"/>
      <c r="E20" s="447"/>
      <c r="F20" s="447"/>
      <c r="G20" s="447"/>
      <c r="H20" s="447"/>
      <c r="I20" s="447"/>
      <c r="J20" s="447"/>
      <c r="K20" s="92" t="s">
        <v>9</v>
      </c>
      <c r="L20" s="12" t="s">
        <v>166</v>
      </c>
    </row>
    <row r="21" spans="2:13">
      <c r="B21" s="90" t="s">
        <v>4</v>
      </c>
      <c r="C21" s="448" t="s">
        <v>163</v>
      </c>
      <c r="D21" s="449"/>
      <c r="E21" s="449"/>
      <c r="F21" s="449"/>
      <c r="G21" s="449"/>
      <c r="H21" s="449"/>
      <c r="I21" s="449"/>
      <c r="J21" s="450"/>
      <c r="K21" s="34">
        <v>8.3299999999999999E-2</v>
      </c>
      <c r="L21" s="12" t="e">
        <f>K21*L17</f>
        <v>#REF!</v>
      </c>
    </row>
    <row r="22" spans="2:13">
      <c r="B22" s="90" t="s">
        <v>6</v>
      </c>
      <c r="C22" s="448" t="s">
        <v>164</v>
      </c>
      <c r="D22" s="449"/>
      <c r="E22" s="449"/>
      <c r="F22" s="449"/>
      <c r="G22" s="449"/>
      <c r="H22" s="449"/>
      <c r="I22" s="449"/>
      <c r="J22" s="450"/>
      <c r="K22" s="34">
        <v>2.7799999999999998E-2</v>
      </c>
      <c r="L22" s="12" t="e">
        <f>K22*L17</f>
        <v>#REF!</v>
      </c>
    </row>
    <row r="23" spans="2:13">
      <c r="B23" s="451" t="s">
        <v>165</v>
      </c>
      <c r="C23" s="452"/>
      <c r="D23" s="452"/>
      <c r="E23" s="452"/>
      <c r="F23" s="452"/>
      <c r="G23" s="452"/>
      <c r="H23" s="452"/>
      <c r="I23" s="452"/>
      <c r="J23" s="453"/>
      <c r="K23" s="34">
        <f>SUM(K21:K22)</f>
        <v>0.1111</v>
      </c>
      <c r="L23" s="12" t="e">
        <f>SUM(L21:L22)</f>
        <v>#REF!</v>
      </c>
    </row>
    <row r="24" spans="2:13">
      <c r="B24" s="93"/>
      <c r="C24" s="94"/>
      <c r="D24" s="94"/>
      <c r="E24" s="94"/>
      <c r="F24" s="94"/>
      <c r="G24" s="94"/>
      <c r="H24" s="94"/>
      <c r="I24" s="94"/>
      <c r="J24" s="95"/>
      <c r="K24" s="34"/>
      <c r="L24" s="12"/>
    </row>
    <row r="25" spans="2:13">
      <c r="B25" s="446" t="s">
        <v>167</v>
      </c>
      <c r="C25" s="447"/>
      <c r="D25" s="447"/>
      <c r="E25" s="447"/>
      <c r="F25" s="447"/>
      <c r="G25" s="447"/>
      <c r="H25" s="447"/>
      <c r="I25" s="447"/>
      <c r="J25" s="447"/>
      <c r="K25" s="92" t="s">
        <v>9</v>
      </c>
      <c r="L25" s="12" t="s">
        <v>166</v>
      </c>
    </row>
    <row r="26" spans="2:13">
      <c r="B26" s="74" t="s">
        <v>4</v>
      </c>
      <c r="C26" s="455" t="s">
        <v>17</v>
      </c>
      <c r="D26" s="455"/>
      <c r="E26" s="455"/>
      <c r="F26" s="455"/>
      <c r="G26" s="455"/>
      <c r="H26" s="455"/>
      <c r="I26" s="455"/>
      <c r="J26" s="455"/>
      <c r="K26" s="27">
        <v>0.2</v>
      </c>
      <c r="L26" s="28" t="e">
        <f>ROUND($K$26*L17,2)</f>
        <v>#REF!</v>
      </c>
    </row>
    <row r="27" spans="2:13">
      <c r="B27" s="74" t="s">
        <v>6</v>
      </c>
      <c r="C27" s="455" t="s">
        <v>18</v>
      </c>
      <c r="D27" s="455"/>
      <c r="E27" s="455"/>
      <c r="F27" s="455"/>
      <c r="G27" s="455"/>
      <c r="H27" s="455"/>
      <c r="I27" s="455"/>
      <c r="J27" s="455"/>
      <c r="K27" s="27">
        <v>1.4999999999999999E-2</v>
      </c>
      <c r="L27" s="28" t="e">
        <f>ROUND($K$27*L17,2)</f>
        <v>#REF!</v>
      </c>
    </row>
    <row r="28" spans="2:13">
      <c r="B28" s="74" t="s">
        <v>10</v>
      </c>
      <c r="C28" s="455" t="s">
        <v>19</v>
      </c>
      <c r="D28" s="455"/>
      <c r="E28" s="455"/>
      <c r="F28" s="455"/>
      <c r="G28" s="455"/>
      <c r="H28" s="455"/>
      <c r="I28" s="455"/>
      <c r="J28" s="455"/>
      <c r="K28" s="27">
        <v>0.01</v>
      </c>
      <c r="L28" s="28" t="e">
        <f>ROUND(K28*$L$17,2)</f>
        <v>#REF!</v>
      </c>
    </row>
    <row r="29" spans="2:13">
      <c r="B29" s="74" t="s">
        <v>12</v>
      </c>
      <c r="C29" s="455" t="s">
        <v>20</v>
      </c>
      <c r="D29" s="455"/>
      <c r="E29" s="455"/>
      <c r="F29" s="455"/>
      <c r="G29" s="455"/>
      <c r="H29" s="455"/>
      <c r="I29" s="455"/>
      <c r="J29" s="455"/>
      <c r="K29" s="27">
        <v>2E-3</v>
      </c>
      <c r="L29" s="28" t="e">
        <f>ROUND(K29*$L$17,2)</f>
        <v>#REF!</v>
      </c>
    </row>
    <row r="30" spans="2:13">
      <c r="B30" s="74" t="s">
        <v>14</v>
      </c>
      <c r="C30" s="455" t="s">
        <v>21</v>
      </c>
      <c r="D30" s="455"/>
      <c r="E30" s="455"/>
      <c r="F30" s="455"/>
      <c r="G30" s="455"/>
      <c r="H30" s="455"/>
      <c r="I30" s="455"/>
      <c r="J30" s="455"/>
      <c r="K30" s="27">
        <v>2.5000000000000001E-2</v>
      </c>
      <c r="L30" s="28" t="e">
        <f>ROUND(K30*$L$17,2)</f>
        <v>#REF!</v>
      </c>
      <c r="M30" s="29"/>
    </row>
    <row r="31" spans="2:13">
      <c r="B31" s="74" t="s">
        <v>1</v>
      </c>
      <c r="C31" s="448" t="s">
        <v>153</v>
      </c>
      <c r="D31" s="450"/>
      <c r="E31" s="459">
        <v>0.08</v>
      </c>
      <c r="F31" s="460"/>
      <c r="G31" s="448" t="s">
        <v>152</v>
      </c>
      <c r="H31" s="449"/>
      <c r="I31" s="449"/>
      <c r="J31" s="450"/>
      <c r="K31" s="27">
        <f>E31*(1+(1/12)+(1/12/3))</f>
        <v>8.8888888888888878E-2</v>
      </c>
      <c r="L31" s="28" t="e">
        <f>ROUND(K31*($L$17+(1/3/12*L17)+(1/12*L17)),2)</f>
        <v>#REF!</v>
      </c>
      <c r="M31" s="1" t="s">
        <v>168</v>
      </c>
    </row>
    <row r="32" spans="2:13">
      <c r="B32" s="74" t="s">
        <v>15</v>
      </c>
      <c r="C32" s="455" t="s">
        <v>22</v>
      </c>
      <c r="D32" s="455"/>
      <c r="E32" s="455"/>
      <c r="F32" s="455"/>
      <c r="G32" s="73" t="s">
        <v>23</v>
      </c>
      <c r="H32" s="30">
        <v>0.03</v>
      </c>
      <c r="I32" s="73" t="s">
        <v>24</v>
      </c>
      <c r="J32" s="63">
        <v>1</v>
      </c>
      <c r="K32" s="31">
        <f>H32*J32</f>
        <v>0.03</v>
      </c>
      <c r="L32" s="28" t="e">
        <f>ROUND(K32*$L$17,2)</f>
        <v>#REF!</v>
      </c>
    </row>
    <row r="33" spans="2:20">
      <c r="B33" s="74" t="s">
        <v>16</v>
      </c>
      <c r="C33" s="455" t="s">
        <v>25</v>
      </c>
      <c r="D33" s="455"/>
      <c r="E33" s="455"/>
      <c r="F33" s="455"/>
      <c r="G33" s="455"/>
      <c r="H33" s="455"/>
      <c r="I33" s="455"/>
      <c r="J33" s="455"/>
      <c r="K33" s="27">
        <v>6.0000000000000001E-3</v>
      </c>
      <c r="L33" s="28" t="e">
        <f>ROUND(K33*$L$17,2)</f>
        <v>#REF!</v>
      </c>
      <c r="M33" s="2"/>
      <c r="N33" s="2"/>
      <c r="O33" s="2"/>
      <c r="P33" s="2"/>
      <c r="Q33" s="2"/>
      <c r="R33" s="2"/>
      <c r="S33" s="2"/>
      <c r="T33" s="2"/>
    </row>
    <row r="34" spans="2:20">
      <c r="B34" s="451" t="s">
        <v>169</v>
      </c>
      <c r="C34" s="452"/>
      <c r="D34" s="452"/>
      <c r="E34" s="452"/>
      <c r="F34" s="452"/>
      <c r="G34" s="452"/>
      <c r="H34" s="452"/>
      <c r="I34" s="452"/>
      <c r="J34" s="453"/>
      <c r="K34" s="34">
        <f>SUM(K26:K33)</f>
        <v>0.37688888888888894</v>
      </c>
      <c r="L34" s="12" t="e">
        <f>SUM(L26:L33)</f>
        <v>#REF!</v>
      </c>
      <c r="M34" s="2"/>
      <c r="N34" s="2"/>
      <c r="O34" s="2"/>
      <c r="P34" s="2"/>
      <c r="Q34" s="2"/>
      <c r="R34" s="2"/>
      <c r="S34" s="2"/>
      <c r="T34" s="2"/>
    </row>
    <row r="35" spans="2:20">
      <c r="B35" s="93"/>
      <c r="C35" s="94"/>
      <c r="D35" s="94"/>
      <c r="E35" s="94"/>
      <c r="F35" s="94"/>
      <c r="G35" s="94"/>
      <c r="H35" s="94"/>
      <c r="I35" s="94"/>
      <c r="J35" s="95"/>
      <c r="K35" s="34"/>
      <c r="L35" s="12"/>
      <c r="M35" s="2"/>
      <c r="N35" s="2"/>
      <c r="O35" s="2"/>
      <c r="P35" s="2"/>
      <c r="Q35" s="2"/>
      <c r="R35" s="2"/>
      <c r="S35" s="2"/>
      <c r="T35" s="2"/>
    </row>
    <row r="36" spans="2:20">
      <c r="B36" s="446" t="s">
        <v>170</v>
      </c>
      <c r="C36" s="447"/>
      <c r="D36" s="447"/>
      <c r="E36" s="447"/>
      <c r="F36" s="447"/>
      <c r="G36" s="447"/>
      <c r="H36" s="447"/>
      <c r="I36" s="447"/>
      <c r="J36" s="447"/>
      <c r="K36" s="92"/>
      <c r="L36" s="12" t="s">
        <v>166</v>
      </c>
    </row>
    <row r="37" spans="2:20">
      <c r="B37" s="59" t="s">
        <v>4</v>
      </c>
      <c r="C37" s="448" t="e">
        <f>#REF!</f>
        <v>#REF!</v>
      </c>
      <c r="D37" s="449"/>
      <c r="E37" s="449"/>
      <c r="F37" s="449"/>
      <c r="G37" s="449"/>
      <c r="H37" s="449"/>
      <c r="I37" s="449"/>
      <c r="J37" s="450"/>
      <c r="K37" s="80"/>
      <c r="L37" s="12" t="e">
        <f>#REF!</f>
        <v>#REF!</v>
      </c>
    </row>
    <row r="38" spans="2:20">
      <c r="B38" s="59" t="s">
        <v>6</v>
      </c>
      <c r="C38" s="448" t="e">
        <f>#REF!</f>
        <v>#REF!</v>
      </c>
      <c r="D38" s="449"/>
      <c r="E38" s="449"/>
      <c r="F38" s="449"/>
      <c r="G38" s="449"/>
      <c r="H38" s="449"/>
      <c r="I38" s="449"/>
      <c r="J38" s="450"/>
      <c r="K38" s="80"/>
      <c r="L38" s="12" t="e">
        <f>#REF!</f>
        <v>#REF!</v>
      </c>
    </row>
    <row r="39" spans="2:20">
      <c r="B39" s="59" t="s">
        <v>10</v>
      </c>
      <c r="C39" s="448" t="e">
        <f>#REF!</f>
        <v>#REF!</v>
      </c>
      <c r="D39" s="449"/>
      <c r="E39" s="449"/>
      <c r="F39" s="449"/>
      <c r="G39" s="449"/>
      <c r="H39" s="449"/>
      <c r="I39" s="449"/>
      <c r="J39" s="450"/>
      <c r="K39" s="80"/>
      <c r="L39" s="12" t="e">
        <f>#REF!</f>
        <v>#REF!</v>
      </c>
    </row>
    <row r="40" spans="2:20">
      <c r="B40" s="79" t="s">
        <v>12</v>
      </c>
      <c r="C40" s="448" t="e">
        <f>#REF!</f>
        <v>#REF!</v>
      </c>
      <c r="D40" s="449"/>
      <c r="E40" s="449"/>
      <c r="F40" s="449"/>
      <c r="G40" s="449"/>
      <c r="H40" s="449"/>
      <c r="I40" s="449"/>
      <c r="J40" s="450"/>
      <c r="K40" s="80"/>
      <c r="L40" s="12" t="e">
        <f>#REF!</f>
        <v>#REF!</v>
      </c>
    </row>
    <row r="41" spans="2:20">
      <c r="B41" s="79" t="s">
        <v>14</v>
      </c>
      <c r="C41" s="448" t="e">
        <f>#REF!</f>
        <v>#REF!</v>
      </c>
      <c r="D41" s="449"/>
      <c r="E41" s="449"/>
      <c r="F41" s="449"/>
      <c r="G41" s="449"/>
      <c r="H41" s="449"/>
      <c r="I41" s="449"/>
      <c r="J41" s="450"/>
      <c r="K41" s="81"/>
      <c r="L41" s="12" t="e">
        <f>#REF!</f>
        <v>#REF!</v>
      </c>
    </row>
    <row r="42" spans="2:20">
      <c r="B42" s="79" t="s">
        <v>1</v>
      </c>
      <c r="C42" s="448" t="e">
        <f>#REF!</f>
        <v>#REF!</v>
      </c>
      <c r="D42" s="449"/>
      <c r="E42" s="449"/>
      <c r="F42" s="449"/>
      <c r="G42" s="449"/>
      <c r="H42" s="449"/>
      <c r="I42" s="449"/>
      <c r="J42" s="450"/>
      <c r="K42" s="82"/>
      <c r="L42" s="12" t="e">
        <f>#REF!</f>
        <v>#REF!</v>
      </c>
    </row>
    <row r="43" spans="2:20">
      <c r="B43" s="79" t="s">
        <v>15</v>
      </c>
      <c r="C43" s="448" t="e">
        <f>#REF!</f>
        <v>#REF!</v>
      </c>
      <c r="D43" s="449"/>
      <c r="E43" s="449"/>
      <c r="F43" s="449"/>
      <c r="G43" s="449"/>
      <c r="H43" s="449"/>
      <c r="I43" s="449"/>
      <c r="J43" s="450"/>
      <c r="K43" s="82"/>
      <c r="L43" s="12" t="e">
        <f>#REF!</f>
        <v>#REF!</v>
      </c>
    </row>
    <row r="44" spans="2:20">
      <c r="B44" s="79" t="s">
        <v>16</v>
      </c>
      <c r="C44" s="458" t="s">
        <v>0</v>
      </c>
      <c r="D44" s="458"/>
      <c r="E44" s="458"/>
      <c r="F44" s="458"/>
      <c r="G44" s="458"/>
      <c r="H44" s="458"/>
      <c r="I44" s="458"/>
      <c r="J44" s="458"/>
      <c r="K44" s="458"/>
      <c r="L44" s="19">
        <v>0</v>
      </c>
    </row>
    <row r="45" spans="2:20">
      <c r="B45" s="451" t="s">
        <v>172</v>
      </c>
      <c r="C45" s="452"/>
      <c r="D45" s="452"/>
      <c r="E45" s="452"/>
      <c r="F45" s="452"/>
      <c r="G45" s="452"/>
      <c r="H45" s="452"/>
      <c r="I45" s="452"/>
      <c r="J45" s="453"/>
      <c r="K45" s="34"/>
      <c r="L45" s="12" t="e">
        <f>SUM(L37:L44)</f>
        <v>#REF!</v>
      </c>
    </row>
    <row r="46" spans="2:20">
      <c r="B46" s="93"/>
      <c r="C46" s="94"/>
      <c r="D46" s="94"/>
      <c r="E46" s="94"/>
      <c r="F46" s="94"/>
      <c r="G46" s="94"/>
      <c r="H46" s="94"/>
      <c r="I46" s="94"/>
      <c r="J46" s="95"/>
      <c r="K46" s="34"/>
      <c r="L46" s="12"/>
    </row>
    <row r="47" spans="2:20">
      <c r="B47" s="473" t="s">
        <v>173</v>
      </c>
      <c r="C47" s="473"/>
      <c r="D47" s="473"/>
      <c r="E47" s="473"/>
      <c r="F47" s="473"/>
      <c r="G47" s="473"/>
      <c r="H47" s="473"/>
      <c r="I47" s="473"/>
      <c r="J47" s="473"/>
      <c r="K47" s="473"/>
      <c r="L47" s="7" t="str">
        <f>L5</f>
        <v>SERVENTE</v>
      </c>
    </row>
    <row r="48" spans="2:20">
      <c r="B48" s="90" t="s">
        <v>174</v>
      </c>
      <c r="C48" s="448" t="s">
        <v>177</v>
      </c>
      <c r="D48" s="449"/>
      <c r="E48" s="449"/>
      <c r="F48" s="449"/>
      <c r="G48" s="449"/>
      <c r="H48" s="449"/>
      <c r="I48" s="449"/>
      <c r="J48" s="450"/>
      <c r="K48" s="80"/>
      <c r="L48" s="12" t="e">
        <f>L23</f>
        <v>#REF!</v>
      </c>
    </row>
    <row r="49" spans="2:12">
      <c r="B49" s="90" t="s">
        <v>175</v>
      </c>
      <c r="C49" s="448" t="s">
        <v>178</v>
      </c>
      <c r="D49" s="449"/>
      <c r="E49" s="449"/>
      <c r="F49" s="449"/>
      <c r="G49" s="449"/>
      <c r="H49" s="449"/>
      <c r="I49" s="449"/>
      <c r="J49" s="450"/>
      <c r="K49" s="80"/>
      <c r="L49" s="12" t="e">
        <f>L34</f>
        <v>#REF!</v>
      </c>
    </row>
    <row r="50" spans="2:12">
      <c r="B50" s="90" t="s">
        <v>176</v>
      </c>
      <c r="C50" s="448" t="s">
        <v>180</v>
      </c>
      <c r="D50" s="449"/>
      <c r="E50" s="449"/>
      <c r="F50" s="449"/>
      <c r="G50" s="449"/>
      <c r="H50" s="449"/>
      <c r="I50" s="449"/>
      <c r="J50" s="450"/>
      <c r="K50" s="80"/>
      <c r="L50" s="12" t="e">
        <f>L45</f>
        <v>#REF!</v>
      </c>
    </row>
    <row r="51" spans="2:12">
      <c r="B51" s="474" t="s">
        <v>179</v>
      </c>
      <c r="C51" s="475"/>
      <c r="D51" s="475"/>
      <c r="E51" s="475"/>
      <c r="F51" s="475"/>
      <c r="G51" s="475"/>
      <c r="H51" s="475"/>
      <c r="I51" s="475"/>
      <c r="J51" s="476"/>
      <c r="K51" s="101"/>
      <c r="L51" s="102" t="e">
        <f>SUM(L48:L50)</f>
        <v>#REF!</v>
      </c>
    </row>
    <row r="52" spans="2:12">
      <c r="B52" s="461"/>
      <c r="C52" s="462"/>
      <c r="D52" s="462"/>
      <c r="E52" s="462"/>
      <c r="F52" s="462"/>
      <c r="G52" s="462"/>
      <c r="H52" s="462"/>
      <c r="I52" s="462"/>
      <c r="J52" s="462"/>
      <c r="K52" s="462"/>
      <c r="L52" s="462"/>
    </row>
    <row r="53" spans="2:12">
      <c r="B53" s="454" t="s">
        <v>171</v>
      </c>
      <c r="C53" s="454"/>
      <c r="D53" s="454"/>
      <c r="E53" s="454"/>
      <c r="F53" s="454"/>
      <c r="G53" s="454"/>
      <c r="H53" s="454"/>
      <c r="I53" s="454"/>
      <c r="J53" s="454"/>
      <c r="K53" s="97" t="s">
        <v>9</v>
      </c>
      <c r="L53" s="98" t="s">
        <v>166</v>
      </c>
    </row>
    <row r="54" spans="2:12">
      <c r="B54" s="59" t="s">
        <v>4</v>
      </c>
      <c r="C54" s="455" t="s">
        <v>26</v>
      </c>
      <c r="D54" s="455"/>
      <c r="E54" s="455"/>
      <c r="F54" s="455"/>
      <c r="G54" s="455"/>
      <c r="H54" s="455"/>
      <c r="I54" s="38">
        <v>30</v>
      </c>
      <c r="J54" s="39">
        <v>0.05</v>
      </c>
      <c r="K54" s="34">
        <f>I54/30/12*J54</f>
        <v>4.1666666666666666E-3</v>
      </c>
      <c r="L54" s="12" t="e">
        <f t="shared" ref="L54:L59" si="0">ROUND(K54*$L$17,2)</f>
        <v>#REF!</v>
      </c>
    </row>
    <row r="55" spans="2:12">
      <c r="B55" s="59" t="s">
        <v>6</v>
      </c>
      <c r="C55" s="455" t="s">
        <v>27</v>
      </c>
      <c r="D55" s="455"/>
      <c r="E55" s="455"/>
      <c r="F55" s="455"/>
      <c r="G55" s="455"/>
      <c r="H55" s="455"/>
      <c r="I55" s="455"/>
      <c r="J55" s="455"/>
      <c r="K55" s="34">
        <f>K31*K54</f>
        <v>3.703703703703703E-4</v>
      </c>
      <c r="L55" s="12" t="e">
        <f t="shared" si="0"/>
        <v>#REF!</v>
      </c>
    </row>
    <row r="56" spans="2:12">
      <c r="B56" s="90" t="s">
        <v>10</v>
      </c>
      <c r="C56" s="455" t="s">
        <v>182</v>
      </c>
      <c r="D56" s="455"/>
      <c r="E56" s="455"/>
      <c r="F56" s="455"/>
      <c r="G56" s="455"/>
      <c r="H56" s="455"/>
      <c r="I56" s="455"/>
      <c r="J56" s="455"/>
      <c r="K56" s="34">
        <f>0.5*K55</f>
        <v>1.8518518518518515E-4</v>
      </c>
      <c r="L56" s="12" t="e">
        <f t="shared" si="0"/>
        <v>#REF!</v>
      </c>
    </row>
    <row r="57" spans="2:12">
      <c r="B57" s="90" t="s">
        <v>12</v>
      </c>
      <c r="C57" s="455" t="s">
        <v>184</v>
      </c>
      <c r="D57" s="455"/>
      <c r="E57" s="455"/>
      <c r="F57" s="455"/>
      <c r="G57" s="455"/>
      <c r="H57" s="455"/>
      <c r="I57" s="455"/>
      <c r="J57" s="455"/>
      <c r="K57" s="34">
        <v>4.0000000000000002E-4</v>
      </c>
      <c r="L57" s="12" t="e">
        <f t="shared" si="0"/>
        <v>#REF!</v>
      </c>
    </row>
    <row r="58" spans="2:12">
      <c r="B58" s="90" t="s">
        <v>14</v>
      </c>
      <c r="C58" s="455" t="s">
        <v>183</v>
      </c>
      <c r="D58" s="455"/>
      <c r="E58" s="455"/>
      <c r="F58" s="455"/>
      <c r="G58" s="455"/>
      <c r="H58" s="455"/>
      <c r="I58" s="455"/>
      <c r="J58" s="455"/>
      <c r="K58" s="34">
        <f>K34*K57</f>
        <v>1.5075555555555558E-4</v>
      </c>
      <c r="L58" s="12" t="e">
        <f t="shared" si="0"/>
        <v>#REF!</v>
      </c>
    </row>
    <row r="59" spans="2:12">
      <c r="B59" s="90" t="s">
        <v>1</v>
      </c>
      <c r="C59" s="455" t="s">
        <v>185</v>
      </c>
      <c r="D59" s="455"/>
      <c r="E59" s="455"/>
      <c r="F59" s="455"/>
      <c r="G59" s="455"/>
      <c r="H59" s="455"/>
      <c r="I59" s="455"/>
      <c r="J59" s="455"/>
      <c r="K59" s="96">
        <f>0.5*0.08*K57</f>
        <v>1.6000000000000003E-5</v>
      </c>
      <c r="L59" s="12" t="e">
        <f t="shared" si="0"/>
        <v>#REF!</v>
      </c>
    </row>
    <row r="60" spans="2:12" ht="15" customHeight="1">
      <c r="B60" s="474" t="s">
        <v>181</v>
      </c>
      <c r="C60" s="475"/>
      <c r="D60" s="475"/>
      <c r="E60" s="475"/>
      <c r="F60" s="475"/>
      <c r="G60" s="475"/>
      <c r="H60" s="475"/>
      <c r="I60" s="475"/>
      <c r="J60" s="476"/>
      <c r="K60" s="101"/>
      <c r="L60" s="102" t="e">
        <f>SUM(L54:L59)</f>
        <v>#REF!</v>
      </c>
    </row>
    <row r="61" spans="2:12">
      <c r="B61" s="20"/>
      <c r="C61" s="16"/>
      <c r="D61" s="16"/>
      <c r="E61" s="20"/>
      <c r="F61" s="20"/>
      <c r="G61" s="20"/>
      <c r="H61" s="20"/>
      <c r="I61" s="21"/>
      <c r="J61" s="22"/>
      <c r="K61" s="20"/>
    </row>
    <row r="62" spans="2:12">
      <c r="B62" s="454" t="s">
        <v>186</v>
      </c>
      <c r="C62" s="454"/>
      <c r="D62" s="454"/>
      <c r="E62" s="454"/>
      <c r="F62" s="454"/>
      <c r="G62" s="454"/>
      <c r="H62" s="454"/>
      <c r="I62" s="454"/>
      <c r="J62" s="454"/>
      <c r="K62" s="97"/>
      <c r="L62" s="98"/>
    </row>
    <row r="63" spans="2:12">
      <c r="B63" s="446" t="s">
        <v>191</v>
      </c>
      <c r="C63" s="447"/>
      <c r="D63" s="447"/>
      <c r="E63" s="447"/>
      <c r="F63" s="447"/>
      <c r="G63" s="447"/>
      <c r="H63" s="447"/>
      <c r="I63" s="447"/>
      <c r="J63" s="447"/>
      <c r="K63" s="92" t="s">
        <v>9</v>
      </c>
      <c r="L63" s="12" t="s">
        <v>166</v>
      </c>
    </row>
    <row r="64" spans="2:12">
      <c r="B64" s="59" t="s">
        <v>4</v>
      </c>
      <c r="C64" s="421" t="s">
        <v>187</v>
      </c>
      <c r="D64" s="421"/>
      <c r="E64" s="421"/>
      <c r="F64" s="421"/>
      <c r="G64" s="421"/>
      <c r="H64" s="421"/>
      <c r="I64" s="421"/>
      <c r="J64" s="421"/>
      <c r="K64" s="41">
        <f>1/12</f>
        <v>8.3333333333333329E-2</v>
      </c>
      <c r="L64" s="12" t="e">
        <f t="shared" ref="L64:L69" si="1">K64*$L$17</f>
        <v>#REF!</v>
      </c>
    </row>
    <row r="65" spans="2:13">
      <c r="B65" s="59" t="s">
        <v>6</v>
      </c>
      <c r="C65" s="455" t="s">
        <v>188</v>
      </c>
      <c r="D65" s="455"/>
      <c r="E65" s="455"/>
      <c r="F65" s="455"/>
      <c r="G65" s="456" t="s">
        <v>29</v>
      </c>
      <c r="H65" s="456"/>
      <c r="I65" s="456"/>
      <c r="J65" s="42">
        <v>3</v>
      </c>
      <c r="K65" s="41">
        <f>J65/30/12</f>
        <v>8.3333333333333332E-3</v>
      </c>
      <c r="L65" s="12" t="e">
        <f t="shared" si="1"/>
        <v>#REF!</v>
      </c>
      <c r="M65" s="1" t="s">
        <v>168</v>
      </c>
    </row>
    <row r="66" spans="2:13">
      <c r="B66" s="59" t="s">
        <v>10</v>
      </c>
      <c r="C66" s="455" t="s">
        <v>30</v>
      </c>
      <c r="D66" s="455"/>
      <c r="E66" s="455"/>
      <c r="F66" s="455"/>
      <c r="G66" s="456" t="s">
        <v>28</v>
      </c>
      <c r="H66" s="456"/>
      <c r="I66" s="36">
        <v>1.4999999999999999E-2</v>
      </c>
      <c r="J66" s="43">
        <v>5</v>
      </c>
      <c r="K66" s="41">
        <f>J66/30/12*I66</f>
        <v>2.0833333333333332E-4</v>
      </c>
      <c r="L66" s="12" t="e">
        <f t="shared" si="1"/>
        <v>#REF!</v>
      </c>
    </row>
    <row r="67" spans="2:13">
      <c r="B67" s="59" t="s">
        <v>12</v>
      </c>
      <c r="C67" s="456" t="s">
        <v>189</v>
      </c>
      <c r="D67" s="456"/>
      <c r="E67" s="456"/>
      <c r="F67" s="42"/>
      <c r="G67" s="456" t="s">
        <v>28</v>
      </c>
      <c r="H67" s="456"/>
      <c r="I67" s="36">
        <v>7.7999999999999996E-3</v>
      </c>
      <c r="J67" s="44">
        <v>15</v>
      </c>
      <c r="K67" s="41">
        <f>J67/30/12*I67</f>
        <v>3.2499999999999999E-4</v>
      </c>
      <c r="L67" s="12" t="e">
        <f t="shared" si="1"/>
        <v>#REF!</v>
      </c>
    </row>
    <row r="68" spans="2:13">
      <c r="B68" s="59" t="s">
        <v>14</v>
      </c>
      <c r="C68" s="456" t="s">
        <v>190</v>
      </c>
      <c r="D68" s="456"/>
      <c r="E68" s="456"/>
      <c r="F68" s="42"/>
      <c r="G68" s="457"/>
      <c r="H68" s="456"/>
      <c r="I68" s="36"/>
      <c r="J68" s="44"/>
      <c r="K68" s="41">
        <v>6.1000000000000004E-3</v>
      </c>
      <c r="L68" s="12" t="e">
        <f t="shared" si="1"/>
        <v>#REF!</v>
      </c>
      <c r="M68" s="64" t="s">
        <v>168</v>
      </c>
    </row>
    <row r="69" spans="2:13">
      <c r="B69" s="59" t="s">
        <v>1</v>
      </c>
      <c r="C69" s="458" t="s">
        <v>0</v>
      </c>
      <c r="D69" s="458"/>
      <c r="E69" s="458" t="s">
        <v>31</v>
      </c>
      <c r="F69" s="458"/>
      <c r="G69" s="458"/>
      <c r="H69" s="458"/>
      <c r="I69" s="458"/>
      <c r="J69" s="458"/>
      <c r="K69" s="45"/>
      <c r="L69" s="12" t="e">
        <f t="shared" si="1"/>
        <v>#REF!</v>
      </c>
      <c r="M69" s="64"/>
    </row>
    <row r="70" spans="2:13">
      <c r="B70" s="451" t="s">
        <v>192</v>
      </c>
      <c r="C70" s="452"/>
      <c r="D70" s="452"/>
      <c r="E70" s="452"/>
      <c r="F70" s="452"/>
      <c r="G70" s="452"/>
      <c r="H70" s="452"/>
      <c r="I70" s="452"/>
      <c r="J70" s="453"/>
      <c r="K70" s="46"/>
      <c r="L70" s="12" t="e">
        <f>SUM(L64:L69)</f>
        <v>#REF!</v>
      </c>
    </row>
    <row r="71" spans="2:13">
      <c r="B71" s="93"/>
      <c r="C71" s="94"/>
      <c r="D71" s="94"/>
      <c r="E71" s="94"/>
      <c r="F71" s="94"/>
      <c r="G71" s="94"/>
      <c r="H71" s="94"/>
      <c r="I71" s="94"/>
      <c r="J71" s="95"/>
      <c r="K71" s="34"/>
      <c r="L71" s="12"/>
    </row>
    <row r="72" spans="2:13">
      <c r="B72" s="446" t="s">
        <v>193</v>
      </c>
      <c r="C72" s="447"/>
      <c r="D72" s="447"/>
      <c r="E72" s="447"/>
      <c r="F72" s="447"/>
      <c r="G72" s="447"/>
      <c r="H72" s="447"/>
      <c r="I72" s="447"/>
      <c r="J72" s="447"/>
      <c r="K72" s="92" t="s">
        <v>9</v>
      </c>
      <c r="L72" s="12" t="s">
        <v>166</v>
      </c>
    </row>
    <row r="73" spans="2:13">
      <c r="B73" s="90" t="s">
        <v>4</v>
      </c>
      <c r="C73" s="421" t="s">
        <v>194</v>
      </c>
      <c r="D73" s="421"/>
      <c r="E73" s="421"/>
      <c r="F73" s="421"/>
      <c r="G73" s="421"/>
      <c r="H73" s="421"/>
      <c r="I73" s="421"/>
      <c r="J73" s="421"/>
      <c r="K73" s="41">
        <v>0</v>
      </c>
      <c r="L73" s="12" t="e">
        <f>K73*$L$17</f>
        <v>#REF!</v>
      </c>
    </row>
    <row r="74" spans="2:13">
      <c r="B74" s="451" t="s">
        <v>195</v>
      </c>
      <c r="C74" s="452"/>
      <c r="D74" s="452"/>
      <c r="E74" s="452"/>
      <c r="F74" s="452"/>
      <c r="G74" s="452"/>
      <c r="H74" s="452"/>
      <c r="I74" s="452"/>
      <c r="J74" s="453"/>
      <c r="K74" s="46"/>
      <c r="L74" s="12" t="e">
        <f>SUM(L73:L73)</f>
        <v>#REF!</v>
      </c>
    </row>
    <row r="75" spans="2:13">
      <c r="B75" s="93"/>
      <c r="C75" s="94"/>
      <c r="D75" s="94"/>
      <c r="E75" s="94"/>
      <c r="F75" s="94"/>
      <c r="G75" s="94"/>
      <c r="H75" s="94"/>
      <c r="I75" s="94"/>
      <c r="J75" s="94"/>
      <c r="K75" s="99"/>
      <c r="L75" s="12"/>
    </row>
    <row r="76" spans="2:13">
      <c r="B76" s="473" t="s">
        <v>196</v>
      </c>
      <c r="C76" s="473"/>
      <c r="D76" s="473"/>
      <c r="E76" s="473"/>
      <c r="F76" s="473"/>
      <c r="G76" s="473"/>
      <c r="H76" s="473"/>
      <c r="I76" s="473"/>
      <c r="J76" s="473"/>
      <c r="K76" s="473"/>
      <c r="L76" s="7" t="e">
        <f>L34</f>
        <v>#REF!</v>
      </c>
    </row>
    <row r="77" spans="2:13">
      <c r="B77" s="90" t="s">
        <v>197</v>
      </c>
      <c r="C77" s="448" t="s">
        <v>188</v>
      </c>
      <c r="D77" s="449"/>
      <c r="E77" s="449"/>
      <c r="F77" s="449"/>
      <c r="G77" s="449"/>
      <c r="H77" s="449"/>
      <c r="I77" s="449"/>
      <c r="J77" s="450"/>
      <c r="K77" s="80"/>
      <c r="L77" s="12" t="e">
        <f>L70</f>
        <v>#REF!</v>
      </c>
    </row>
    <row r="78" spans="2:13">
      <c r="B78" s="90" t="s">
        <v>198</v>
      </c>
      <c r="C78" s="448" t="s">
        <v>199</v>
      </c>
      <c r="D78" s="449"/>
      <c r="E78" s="449"/>
      <c r="F78" s="449"/>
      <c r="G78" s="449"/>
      <c r="H78" s="449"/>
      <c r="I78" s="449"/>
      <c r="J78" s="450"/>
      <c r="K78" s="80"/>
      <c r="L78" s="12" t="e">
        <f>L74</f>
        <v>#REF!</v>
      </c>
    </row>
    <row r="79" spans="2:13">
      <c r="B79" s="474" t="s">
        <v>200</v>
      </c>
      <c r="C79" s="475"/>
      <c r="D79" s="475"/>
      <c r="E79" s="475"/>
      <c r="F79" s="475"/>
      <c r="G79" s="475"/>
      <c r="H79" s="475"/>
      <c r="I79" s="475"/>
      <c r="J79" s="476"/>
      <c r="K79" s="101"/>
      <c r="L79" s="102" t="e">
        <f>SUM(L77:L78)</f>
        <v>#REF!</v>
      </c>
    </row>
    <row r="80" spans="2:13">
      <c r="B80" s="461"/>
      <c r="C80" s="462"/>
      <c r="D80" s="462"/>
      <c r="E80" s="462"/>
      <c r="F80" s="462"/>
      <c r="G80" s="462"/>
      <c r="H80" s="462"/>
      <c r="I80" s="462"/>
      <c r="J80" s="462"/>
      <c r="K80" s="462"/>
      <c r="L80" s="462"/>
    </row>
    <row r="81" spans="2:13">
      <c r="B81" s="454" t="s">
        <v>201</v>
      </c>
      <c r="C81" s="454"/>
      <c r="D81" s="454"/>
      <c r="E81" s="454"/>
      <c r="F81" s="454"/>
      <c r="G81" s="454"/>
      <c r="H81" s="454"/>
      <c r="I81" s="454"/>
      <c r="J81" s="454"/>
      <c r="K81" s="97"/>
      <c r="L81" s="98"/>
      <c r="M81" s="23"/>
    </row>
    <row r="82" spans="2:13">
      <c r="B82" s="59" t="s">
        <v>4</v>
      </c>
      <c r="C82" s="470" t="s">
        <v>54</v>
      </c>
      <c r="D82" s="470"/>
      <c r="E82" s="470"/>
      <c r="F82" s="470"/>
      <c r="G82" s="470"/>
      <c r="H82" s="470"/>
      <c r="I82" s="470"/>
      <c r="J82" s="470"/>
      <c r="K82" s="470"/>
      <c r="L82" s="12" t="e">
        <f>#REF!</f>
        <v>#REF!</v>
      </c>
    </row>
    <row r="83" spans="2:13">
      <c r="B83" s="59" t="s">
        <v>6</v>
      </c>
      <c r="C83" s="408" t="s">
        <v>203</v>
      </c>
      <c r="D83" s="409"/>
      <c r="E83" s="410" t="s">
        <v>55</v>
      </c>
      <c r="F83" s="411"/>
      <c r="G83" s="411"/>
      <c r="H83" s="411"/>
      <c r="I83" s="412"/>
      <c r="J83" s="471">
        <v>0.12</v>
      </c>
      <c r="K83" s="472"/>
      <c r="L83" s="19" t="e">
        <f>(L17+L51+L60+L79+L82)/(1-J83)*J83</f>
        <v>#REF!</v>
      </c>
      <c r="M83" s="24"/>
    </row>
    <row r="84" spans="2:13">
      <c r="B84" s="91" t="s">
        <v>210</v>
      </c>
      <c r="C84" s="408" t="s">
        <v>211</v>
      </c>
      <c r="D84" s="409"/>
      <c r="E84" s="410"/>
      <c r="F84" s="411"/>
      <c r="G84" s="411"/>
      <c r="H84" s="411"/>
      <c r="I84" s="412"/>
      <c r="J84" s="413">
        <f>H95+H96</f>
        <v>9.2499999999999999E-2</v>
      </c>
      <c r="K84" s="414"/>
      <c r="L84" s="19" t="e">
        <f>-J84*L83</f>
        <v>#REF!</v>
      </c>
      <c r="M84" s="24"/>
    </row>
    <row r="85" spans="2:13">
      <c r="B85" s="90" t="s">
        <v>10</v>
      </c>
      <c r="C85" s="83" t="s">
        <v>202</v>
      </c>
      <c r="D85" s="84"/>
      <c r="E85" s="85"/>
      <c r="F85" s="86"/>
      <c r="G85" s="86"/>
      <c r="H85" s="86"/>
      <c r="I85" s="87"/>
      <c r="J85" s="88"/>
      <c r="K85" s="89"/>
      <c r="L85" s="19"/>
      <c r="M85" s="24"/>
    </row>
    <row r="86" spans="2:13">
      <c r="B86" s="59" t="s">
        <v>204</v>
      </c>
      <c r="C86" s="458" t="s">
        <v>0</v>
      </c>
      <c r="D86" s="458"/>
      <c r="E86" s="458"/>
      <c r="F86" s="458"/>
      <c r="G86" s="458"/>
      <c r="H86" s="458"/>
      <c r="I86" s="458"/>
      <c r="J86" s="458"/>
      <c r="K86" s="458"/>
      <c r="L86" s="19">
        <v>0</v>
      </c>
    </row>
    <row r="87" spans="2:13">
      <c r="B87" s="474" t="s">
        <v>207</v>
      </c>
      <c r="C87" s="475"/>
      <c r="D87" s="475"/>
      <c r="E87" s="475"/>
      <c r="F87" s="475"/>
      <c r="G87" s="475"/>
      <c r="H87" s="475"/>
      <c r="I87" s="475"/>
      <c r="J87" s="476"/>
      <c r="K87" s="101"/>
      <c r="L87" s="102" t="e">
        <f>SUM(L82:L86)</f>
        <v>#REF!</v>
      </c>
    </row>
    <row r="88" spans="2:13">
      <c r="B88" s="25"/>
      <c r="C88" s="25"/>
      <c r="D88" s="25"/>
      <c r="E88" s="25"/>
      <c r="F88" s="25"/>
      <c r="G88" s="25"/>
      <c r="H88" s="25"/>
      <c r="I88" s="37"/>
      <c r="J88" s="25"/>
      <c r="K88" s="25"/>
    </row>
    <row r="89" spans="2:13">
      <c r="B89" s="16"/>
      <c r="C89" s="16"/>
      <c r="D89" s="16"/>
      <c r="E89" s="16"/>
      <c r="F89" s="16"/>
      <c r="G89" s="16"/>
      <c r="H89" s="48"/>
      <c r="I89" s="48"/>
      <c r="J89" s="48"/>
      <c r="K89" s="48"/>
      <c r="L89" s="49"/>
    </row>
    <row r="90" spans="2:13">
      <c r="B90" s="454" t="s">
        <v>205</v>
      </c>
      <c r="C90" s="454"/>
      <c r="D90" s="454"/>
      <c r="E90" s="454"/>
      <c r="F90" s="454"/>
      <c r="G90" s="454"/>
      <c r="H90" s="454"/>
      <c r="I90" s="454"/>
      <c r="J90" s="454"/>
      <c r="K90" s="97"/>
      <c r="L90" s="98" t="str">
        <f>L5</f>
        <v>SERVENTE</v>
      </c>
    </row>
    <row r="91" spans="2:13">
      <c r="B91" s="59" t="s">
        <v>4</v>
      </c>
      <c r="C91" s="421" t="s">
        <v>206</v>
      </c>
      <c r="D91" s="421"/>
      <c r="E91" s="421"/>
      <c r="F91" s="421"/>
      <c r="G91" s="421"/>
      <c r="H91" s="421"/>
      <c r="I91" s="421"/>
      <c r="J91" s="421"/>
      <c r="K91" s="65">
        <v>0.05</v>
      </c>
      <c r="L91" s="28" t="e">
        <f>K91*L110</f>
        <v>#REF!</v>
      </c>
      <c r="M91" s="50"/>
    </row>
    <row r="92" spans="2:13">
      <c r="B92" s="59" t="s">
        <v>6</v>
      </c>
      <c r="C92" s="421" t="s">
        <v>32</v>
      </c>
      <c r="D92" s="421"/>
      <c r="E92" s="421"/>
      <c r="F92" s="421"/>
      <c r="G92" s="421"/>
      <c r="H92" s="421"/>
      <c r="I92" s="421"/>
      <c r="J92" s="421"/>
      <c r="K92" s="65">
        <v>6.8099999999999994E-2</v>
      </c>
      <c r="L92" s="28" t="e">
        <f>K92*L110</f>
        <v>#REF!</v>
      </c>
      <c r="M92" s="50"/>
    </row>
    <row r="93" spans="2:13">
      <c r="B93" s="427" t="s">
        <v>10</v>
      </c>
      <c r="C93" s="435" t="s">
        <v>33</v>
      </c>
      <c r="D93" s="436"/>
      <c r="E93" s="436"/>
      <c r="F93" s="436"/>
      <c r="G93" s="436"/>
      <c r="H93" s="436"/>
      <c r="I93" s="437"/>
      <c r="J93" s="438" t="e">
        <f>L110+L91+L92</f>
        <v>#REF!</v>
      </c>
      <c r="K93" s="439"/>
      <c r="L93" s="47"/>
    </row>
    <row r="94" spans="2:13">
      <c r="B94" s="427"/>
      <c r="C94" s="440" t="s">
        <v>34</v>
      </c>
      <c r="D94" s="441"/>
      <c r="E94" s="441"/>
      <c r="F94" s="442"/>
      <c r="G94" s="40"/>
      <c r="H94" s="40" t="s">
        <v>35</v>
      </c>
      <c r="I94" s="40"/>
      <c r="J94" s="443"/>
      <c r="K94" s="444"/>
      <c r="L94" s="47"/>
    </row>
    <row r="95" spans="2:13">
      <c r="B95" s="427"/>
      <c r="C95" s="434" t="s">
        <v>36</v>
      </c>
      <c r="D95" s="434"/>
      <c r="E95" s="434"/>
      <c r="F95" s="434"/>
      <c r="G95" s="66" t="s">
        <v>37</v>
      </c>
      <c r="H95" s="35">
        <v>1.6500000000000001E-2</v>
      </c>
      <c r="I95" s="445">
        <f>SUM(H95:H100)</f>
        <v>0.13250000000000001</v>
      </c>
      <c r="J95" s="432" t="e">
        <f t="shared" ref="J95:J100" si="2">ROUND($L$112*H95,2)</f>
        <v>#REF!</v>
      </c>
      <c r="K95" s="433"/>
      <c r="L95" s="429" t="e">
        <f>SUM(J95:K100)</f>
        <v>#REF!</v>
      </c>
    </row>
    <row r="96" spans="2:13">
      <c r="B96" s="427"/>
      <c r="C96" s="434"/>
      <c r="D96" s="434"/>
      <c r="E96" s="434"/>
      <c r="F96" s="434"/>
      <c r="G96" s="66" t="s">
        <v>38</v>
      </c>
      <c r="H96" s="35">
        <v>7.5999999999999998E-2</v>
      </c>
      <c r="I96" s="445"/>
      <c r="J96" s="432" t="e">
        <f t="shared" si="2"/>
        <v>#REF!</v>
      </c>
      <c r="K96" s="433"/>
      <c r="L96" s="430"/>
    </row>
    <row r="97" spans="2:12">
      <c r="B97" s="427"/>
      <c r="C97" s="434"/>
      <c r="D97" s="434"/>
      <c r="E97" s="434"/>
      <c r="F97" s="434"/>
      <c r="G97" s="66" t="s">
        <v>39</v>
      </c>
      <c r="H97" s="35">
        <v>0</v>
      </c>
      <c r="I97" s="445"/>
      <c r="J97" s="432" t="e">
        <f t="shared" si="2"/>
        <v>#REF!</v>
      </c>
      <c r="K97" s="433"/>
      <c r="L97" s="430"/>
    </row>
    <row r="98" spans="2:12">
      <c r="B98" s="427"/>
      <c r="C98" s="434" t="s">
        <v>40</v>
      </c>
      <c r="D98" s="434"/>
      <c r="E98" s="434"/>
      <c r="F98" s="434"/>
      <c r="G98" s="67" t="s">
        <v>41</v>
      </c>
      <c r="H98" s="35">
        <v>0.04</v>
      </c>
      <c r="I98" s="445"/>
      <c r="J98" s="432" t="e">
        <f t="shared" si="2"/>
        <v>#REF!</v>
      </c>
      <c r="K98" s="433"/>
      <c r="L98" s="430"/>
    </row>
    <row r="99" spans="2:12">
      <c r="B99" s="427"/>
      <c r="C99" s="434"/>
      <c r="D99" s="434"/>
      <c r="E99" s="434"/>
      <c r="F99" s="434"/>
      <c r="G99" s="67" t="s">
        <v>39</v>
      </c>
      <c r="H99" s="35">
        <v>0</v>
      </c>
      <c r="I99" s="445"/>
      <c r="J99" s="432" t="e">
        <f t="shared" si="2"/>
        <v>#REF!</v>
      </c>
      <c r="K99" s="433"/>
      <c r="L99" s="430"/>
    </row>
    <row r="100" spans="2:12">
      <c r="B100" s="427"/>
      <c r="C100" s="434" t="s">
        <v>42</v>
      </c>
      <c r="D100" s="434"/>
      <c r="E100" s="434"/>
      <c r="F100" s="434"/>
      <c r="G100" s="67"/>
      <c r="H100" s="35">
        <v>0</v>
      </c>
      <c r="I100" s="445"/>
      <c r="J100" s="432" t="e">
        <f t="shared" si="2"/>
        <v>#REF!</v>
      </c>
      <c r="K100" s="433"/>
      <c r="L100" s="431"/>
    </row>
    <row r="101" spans="2:12">
      <c r="B101" s="427" t="s">
        <v>43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60" t="e">
        <f>L95+L92+L91</f>
        <v>#REF!</v>
      </c>
    </row>
    <row r="102" spans="2:12">
      <c r="B102" s="51"/>
      <c r="C102" s="51"/>
      <c r="D102" s="51"/>
      <c r="E102" s="51"/>
      <c r="F102" s="51"/>
      <c r="G102" s="51"/>
      <c r="H102" s="51"/>
      <c r="I102" s="52"/>
      <c r="J102" s="53"/>
      <c r="K102" s="51"/>
    </row>
    <row r="103" spans="2:12">
      <c r="B103" s="428" t="s">
        <v>44</v>
      </c>
      <c r="C103" s="428"/>
      <c r="D103" s="428"/>
      <c r="E103" s="428"/>
      <c r="F103" s="428"/>
      <c r="G103" s="428"/>
      <c r="H103" s="428"/>
      <c r="I103" s="428"/>
      <c r="J103" s="428"/>
      <c r="K103" s="428"/>
      <c r="L103" s="428"/>
    </row>
    <row r="104" spans="2:12">
      <c r="B104" s="422" t="s">
        <v>45</v>
      </c>
      <c r="C104" s="422"/>
      <c r="D104" s="422"/>
      <c r="E104" s="422"/>
      <c r="F104" s="422"/>
      <c r="G104" s="422"/>
      <c r="H104" s="422"/>
      <c r="I104" s="422"/>
      <c r="J104" s="422"/>
      <c r="K104" s="422"/>
      <c r="L104" s="7" t="str">
        <f>L5</f>
        <v>SERVENTE</v>
      </c>
    </row>
    <row r="105" spans="2:12">
      <c r="B105" s="59" t="s">
        <v>4</v>
      </c>
      <c r="C105" s="421" t="str">
        <f>B6</f>
        <v xml:space="preserve">MÓDULO 01 – Composição da Remuneração </v>
      </c>
      <c r="D105" s="421"/>
      <c r="E105" s="421"/>
      <c r="F105" s="421"/>
      <c r="G105" s="421"/>
      <c r="H105" s="421"/>
      <c r="I105" s="421"/>
      <c r="J105" s="421"/>
      <c r="K105" s="421"/>
      <c r="L105" s="54" t="e">
        <f>L17</f>
        <v>#REF!</v>
      </c>
    </row>
    <row r="106" spans="2:12">
      <c r="B106" s="59" t="s">
        <v>6</v>
      </c>
      <c r="C106" s="421" t="str">
        <f>B19</f>
        <v>MÓDULO 2 – ENCARGOS E BENEFÍCIOS ANUAIS, MENSAIS E DIÁRIOS</v>
      </c>
      <c r="D106" s="421"/>
      <c r="E106" s="421"/>
      <c r="F106" s="421"/>
      <c r="G106" s="421"/>
      <c r="H106" s="421"/>
      <c r="I106" s="421"/>
      <c r="J106" s="421"/>
      <c r="K106" s="421"/>
      <c r="L106" s="54" t="e">
        <f>L51</f>
        <v>#REF!</v>
      </c>
    </row>
    <row r="107" spans="2:12">
      <c r="B107" s="59" t="s">
        <v>10</v>
      </c>
      <c r="C107" s="421" t="str">
        <f>B53</f>
        <v>MÓDULO 3 – PROVISÃO PARA RESCISÃO</v>
      </c>
      <c r="D107" s="421"/>
      <c r="E107" s="421"/>
      <c r="F107" s="421"/>
      <c r="G107" s="421"/>
      <c r="H107" s="421"/>
      <c r="I107" s="421"/>
      <c r="J107" s="421"/>
      <c r="K107" s="421"/>
      <c r="L107" s="54" t="e">
        <f>L60</f>
        <v>#REF!</v>
      </c>
    </row>
    <row r="108" spans="2:12">
      <c r="B108" s="59" t="s">
        <v>12</v>
      </c>
      <c r="C108" s="421" t="str">
        <f>B62</f>
        <v>MÓDULO 4 – CUSTO DE REPOSIÇÃO DO PROFISSIONAL AUSENTE</v>
      </c>
      <c r="D108" s="421"/>
      <c r="E108" s="421"/>
      <c r="F108" s="421"/>
      <c r="G108" s="421"/>
      <c r="H108" s="421"/>
      <c r="I108" s="421"/>
      <c r="J108" s="421"/>
      <c r="K108" s="421"/>
      <c r="L108" s="54" t="e">
        <f>L79</f>
        <v>#REF!</v>
      </c>
    </row>
    <row r="109" spans="2:12">
      <c r="B109" s="90" t="s">
        <v>14</v>
      </c>
      <c r="C109" s="421" t="str">
        <f>B81</f>
        <v>MÓDULO 5 – INSUMOS DIVERSOS</v>
      </c>
      <c r="D109" s="421"/>
      <c r="E109" s="421"/>
      <c r="F109" s="421"/>
      <c r="G109" s="421"/>
      <c r="H109" s="421"/>
      <c r="I109" s="421"/>
      <c r="J109" s="421"/>
      <c r="K109" s="421"/>
      <c r="L109" s="54" t="e">
        <f>L87</f>
        <v>#REF!</v>
      </c>
    </row>
    <row r="110" spans="2:12">
      <c r="B110" s="422" t="s">
        <v>209</v>
      </c>
      <c r="C110" s="422"/>
      <c r="D110" s="422"/>
      <c r="E110" s="422"/>
      <c r="F110" s="422"/>
      <c r="G110" s="422"/>
      <c r="H110" s="422"/>
      <c r="I110" s="422"/>
      <c r="J110" s="422"/>
      <c r="K110" s="422"/>
      <c r="L110" s="61" t="e">
        <f>SUM(L105:L109)</f>
        <v>#REF!</v>
      </c>
    </row>
    <row r="111" spans="2:12">
      <c r="B111" s="59" t="s">
        <v>14</v>
      </c>
      <c r="C111" s="421" t="s">
        <v>46</v>
      </c>
      <c r="D111" s="421"/>
      <c r="E111" s="421"/>
      <c r="F111" s="421"/>
      <c r="G111" s="421"/>
      <c r="H111" s="421"/>
      <c r="I111" s="421"/>
      <c r="J111" s="421"/>
      <c r="K111" s="421"/>
      <c r="L111" s="55" t="e">
        <f>L112-L110</f>
        <v>#REF!</v>
      </c>
    </row>
    <row r="112" spans="2:12">
      <c r="B112" s="423" t="s">
        <v>47</v>
      </c>
      <c r="C112" s="423"/>
      <c r="D112" s="423"/>
      <c r="E112" s="423"/>
      <c r="F112" s="423"/>
      <c r="G112" s="423"/>
      <c r="H112" s="423"/>
      <c r="I112" s="423"/>
      <c r="J112" s="423"/>
      <c r="K112" s="423"/>
      <c r="L112" s="62" t="e">
        <f>ROUND(J93/(1-$I$95),2)</f>
        <v>#REF!</v>
      </c>
    </row>
    <row r="113" spans="6:12">
      <c r="K113" s="50"/>
    </row>
    <row r="115" spans="6:12">
      <c r="F115" s="424" t="s">
        <v>48</v>
      </c>
      <c r="G115" s="425"/>
      <c r="H115" s="425"/>
      <c r="I115" s="426"/>
      <c r="J115" s="1"/>
      <c r="L115" s="1"/>
    </row>
    <row r="116" spans="6:12">
      <c r="F116" s="424" t="s">
        <v>49</v>
      </c>
      <c r="G116" s="425"/>
      <c r="H116" s="426"/>
      <c r="I116" s="56" t="s">
        <v>9</v>
      </c>
      <c r="J116" s="1"/>
      <c r="L116" s="1"/>
    </row>
    <row r="117" spans="6:12">
      <c r="F117" s="57" t="s">
        <v>50</v>
      </c>
      <c r="G117" s="57"/>
      <c r="H117" s="58"/>
      <c r="I117" s="58">
        <f>K91</f>
        <v>0.05</v>
      </c>
      <c r="J117" s="1"/>
      <c r="L117" s="1"/>
    </row>
    <row r="118" spans="6:12">
      <c r="F118" s="415" t="s">
        <v>32</v>
      </c>
      <c r="G118" s="416"/>
      <c r="H118" s="417"/>
      <c r="I118" s="58">
        <f>K92</f>
        <v>6.8099999999999994E-2</v>
      </c>
      <c r="J118" s="1"/>
      <c r="L118" s="1"/>
    </row>
    <row r="119" spans="6:12">
      <c r="F119" s="57" t="s">
        <v>51</v>
      </c>
      <c r="G119" s="57"/>
      <c r="H119" s="58"/>
      <c r="I119" s="58">
        <f>I95</f>
        <v>0.13250000000000001</v>
      </c>
      <c r="J119" s="1"/>
      <c r="L119" s="1"/>
    </row>
    <row r="120" spans="6:12">
      <c r="F120" s="418" t="s">
        <v>52</v>
      </c>
      <c r="G120" s="419"/>
      <c r="H120" s="420"/>
      <c r="I120" s="58">
        <f>(1+I117)*(1+I118)/(1-I119)-1</f>
        <v>0.29280115273775253</v>
      </c>
      <c r="J120" s="1"/>
      <c r="L120" s="1"/>
    </row>
  </sheetData>
  <mergeCells count="126">
    <mergeCell ref="B76:K76"/>
    <mergeCell ref="C77:J77"/>
    <mergeCell ref="B79:J79"/>
    <mergeCell ref="B80:L80"/>
    <mergeCell ref="B81:J81"/>
    <mergeCell ref="B90:J90"/>
    <mergeCell ref="B87:J87"/>
    <mergeCell ref="B20:J20"/>
    <mergeCell ref="B23:J23"/>
    <mergeCell ref="C21:J21"/>
    <mergeCell ref="C22:J22"/>
    <mergeCell ref="B25:J25"/>
    <mergeCell ref="B34:J34"/>
    <mergeCell ref="B36:J36"/>
    <mergeCell ref="C37:J37"/>
    <mergeCell ref="C38:J38"/>
    <mergeCell ref="C39:J39"/>
    <mergeCell ref="C40:J40"/>
    <mergeCell ref="C41:J41"/>
    <mergeCell ref="C42:J42"/>
    <mergeCell ref="C43:J43"/>
    <mergeCell ref="B45:J45"/>
    <mergeCell ref="I56:J56"/>
    <mergeCell ref="C28:J28"/>
    <mergeCell ref="C10:I10"/>
    <mergeCell ref="C11:I11"/>
    <mergeCell ref="C12:I12"/>
    <mergeCell ref="C13:I13"/>
    <mergeCell ref="B19:K19"/>
    <mergeCell ref="C14:I14"/>
    <mergeCell ref="C15:K15"/>
    <mergeCell ref="C16:K16"/>
    <mergeCell ref="B17:K17"/>
    <mergeCell ref="B2:L2"/>
    <mergeCell ref="B3:L4"/>
    <mergeCell ref="B6:L6"/>
    <mergeCell ref="C7:K7"/>
    <mergeCell ref="C9:E9"/>
    <mergeCell ref="F9:I9"/>
    <mergeCell ref="C8:K8"/>
    <mergeCell ref="C86:K86"/>
    <mergeCell ref="C26:J26"/>
    <mergeCell ref="C27:J27"/>
    <mergeCell ref="C44:K44"/>
    <mergeCell ref="C82:K82"/>
    <mergeCell ref="C83:D83"/>
    <mergeCell ref="E83:I83"/>
    <mergeCell ref="J83:K83"/>
    <mergeCell ref="B47:K47"/>
    <mergeCell ref="C48:J48"/>
    <mergeCell ref="C49:J49"/>
    <mergeCell ref="C50:J50"/>
    <mergeCell ref="B51:J51"/>
    <mergeCell ref="B60:J60"/>
    <mergeCell ref="C55:H55"/>
    <mergeCell ref="I55:J55"/>
    <mergeCell ref="C56:H56"/>
    <mergeCell ref="B63:J63"/>
    <mergeCell ref="C29:J29"/>
    <mergeCell ref="C30:J30"/>
    <mergeCell ref="C32:F32"/>
    <mergeCell ref="C33:J33"/>
    <mergeCell ref="C31:D31"/>
    <mergeCell ref="E31:F31"/>
    <mergeCell ref="G31:J31"/>
    <mergeCell ref="C57:H57"/>
    <mergeCell ref="I57:J57"/>
    <mergeCell ref="B52:L52"/>
    <mergeCell ref="C91:J91"/>
    <mergeCell ref="C92:J92"/>
    <mergeCell ref="B72:J72"/>
    <mergeCell ref="C73:J73"/>
    <mergeCell ref="C78:J78"/>
    <mergeCell ref="B74:J74"/>
    <mergeCell ref="B62:J62"/>
    <mergeCell ref="C64:J64"/>
    <mergeCell ref="B53:J53"/>
    <mergeCell ref="C54:H54"/>
    <mergeCell ref="C65:F65"/>
    <mergeCell ref="G65:I65"/>
    <mergeCell ref="C66:F66"/>
    <mergeCell ref="G66:H66"/>
    <mergeCell ref="G68:H68"/>
    <mergeCell ref="C69:J69"/>
    <mergeCell ref="C58:H58"/>
    <mergeCell ref="I58:J58"/>
    <mergeCell ref="C59:H59"/>
    <mergeCell ref="I59:J59"/>
    <mergeCell ref="G67:H67"/>
    <mergeCell ref="C67:E67"/>
    <mergeCell ref="C68:E68"/>
    <mergeCell ref="B70:J70"/>
    <mergeCell ref="C100:F100"/>
    <mergeCell ref="J100:K100"/>
    <mergeCell ref="B93:B100"/>
    <mergeCell ref="C93:I93"/>
    <mergeCell ref="J93:K93"/>
    <mergeCell ref="C94:F94"/>
    <mergeCell ref="J94:K94"/>
    <mergeCell ref="C95:F97"/>
    <mergeCell ref="I95:I100"/>
    <mergeCell ref="J95:K95"/>
    <mergeCell ref="C84:D84"/>
    <mergeCell ref="E84:I84"/>
    <mergeCell ref="J84:K84"/>
    <mergeCell ref="F118:H118"/>
    <mergeCell ref="F120:H120"/>
    <mergeCell ref="C108:K108"/>
    <mergeCell ref="B110:K110"/>
    <mergeCell ref="C111:K111"/>
    <mergeCell ref="B112:K112"/>
    <mergeCell ref="F115:I115"/>
    <mergeCell ref="F116:H116"/>
    <mergeCell ref="B101:K101"/>
    <mergeCell ref="B103:L103"/>
    <mergeCell ref="B104:K104"/>
    <mergeCell ref="C105:K105"/>
    <mergeCell ref="C106:K106"/>
    <mergeCell ref="C107:K107"/>
    <mergeCell ref="C109:K109"/>
    <mergeCell ref="L95:L100"/>
    <mergeCell ref="J96:K96"/>
    <mergeCell ref="J97:K97"/>
    <mergeCell ref="C98:F99"/>
    <mergeCell ref="J98:K98"/>
    <mergeCell ref="J99:K99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120"/>
  <sheetViews>
    <sheetView workbookViewId="0">
      <selection activeCell="G85" sqref="G85"/>
    </sheetView>
  </sheetViews>
  <sheetFormatPr defaultColWidth="11.85546875" defaultRowHeight="15"/>
  <cols>
    <col min="1" max="1" width="6.28515625" style="1" customWidth="1"/>
    <col min="2" max="2" width="4.5703125" style="1" customWidth="1"/>
    <col min="3" max="3" width="9" style="1" customWidth="1"/>
    <col min="4" max="4" width="25" style="1" customWidth="1"/>
    <col min="5" max="5" width="4.7109375" style="1" bestFit="1" customWidth="1"/>
    <col min="6" max="6" width="9" style="1" bestFit="1" customWidth="1"/>
    <col min="7" max="7" width="10.42578125" style="1" customWidth="1"/>
    <col min="8" max="8" width="10.7109375" style="1" customWidth="1"/>
    <col min="9" max="9" width="16.7109375" style="32" customWidth="1"/>
    <col min="10" max="10" width="9" style="33" bestFit="1" customWidth="1"/>
    <col min="11" max="11" width="9.140625" style="1" bestFit="1" customWidth="1"/>
    <col min="12" max="12" width="12.7109375" style="18" bestFit="1" customWidth="1"/>
    <col min="13" max="13" width="13.28515625" style="1" bestFit="1" customWidth="1"/>
    <col min="14" max="16384" width="11.85546875" style="1"/>
  </cols>
  <sheetData>
    <row r="2" spans="2:13">
      <c r="B2" s="463" t="s">
        <v>2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</row>
    <row r="3" spans="2:13" s="2" customFormat="1">
      <c r="B3" s="464" t="e">
        <f>#REF!</f>
        <v>#REF!</v>
      </c>
      <c r="C3" s="465"/>
      <c r="D3" s="465"/>
      <c r="E3" s="465"/>
      <c r="F3" s="465"/>
      <c r="G3" s="465"/>
      <c r="H3" s="465"/>
      <c r="I3" s="465"/>
      <c r="J3" s="465"/>
      <c r="K3" s="465"/>
      <c r="L3" s="466"/>
    </row>
    <row r="4" spans="2:13" s="2" customFormat="1">
      <c r="B4" s="467"/>
      <c r="C4" s="468"/>
      <c r="D4" s="468"/>
      <c r="E4" s="468"/>
      <c r="F4" s="468"/>
      <c r="G4" s="468"/>
      <c r="H4" s="468"/>
      <c r="I4" s="468"/>
      <c r="J4" s="468"/>
      <c r="K4" s="468"/>
      <c r="L4" s="469"/>
    </row>
    <row r="5" spans="2:13">
      <c r="B5" s="3"/>
      <c r="C5" s="4"/>
      <c r="D5" s="4"/>
      <c r="E5" s="4"/>
      <c r="F5" s="4"/>
      <c r="G5" s="4"/>
      <c r="H5" s="4"/>
      <c r="I5" s="5"/>
      <c r="J5" s="4"/>
      <c r="K5" s="6"/>
      <c r="L5" s="7" t="s">
        <v>53</v>
      </c>
    </row>
    <row r="6" spans="2:13">
      <c r="B6" s="454" t="s">
        <v>3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</row>
    <row r="7" spans="2:13">
      <c r="B7" s="69" t="s">
        <v>4</v>
      </c>
      <c r="C7" s="421" t="s">
        <v>5</v>
      </c>
      <c r="D7" s="421"/>
      <c r="E7" s="421"/>
      <c r="F7" s="421"/>
      <c r="G7" s="421"/>
      <c r="H7" s="421"/>
      <c r="I7" s="421"/>
      <c r="J7" s="421"/>
      <c r="K7" s="421"/>
      <c r="L7" s="9" t="e">
        <f>#REF!</f>
        <v>#REF!</v>
      </c>
    </row>
    <row r="8" spans="2:13">
      <c r="B8" s="79" t="s">
        <v>154</v>
      </c>
      <c r="C8" s="421" t="s">
        <v>155</v>
      </c>
      <c r="D8" s="421"/>
      <c r="E8" s="421"/>
      <c r="F8" s="421"/>
      <c r="G8" s="421"/>
      <c r="H8" s="421"/>
      <c r="I8" s="421"/>
      <c r="J8" s="421"/>
      <c r="K8" s="421"/>
      <c r="L8" s="9"/>
    </row>
    <row r="9" spans="2:13">
      <c r="B9" s="69" t="s">
        <v>6</v>
      </c>
      <c r="C9" s="421" t="s">
        <v>7</v>
      </c>
      <c r="D9" s="421"/>
      <c r="E9" s="421"/>
      <c r="F9" s="455" t="s">
        <v>8</v>
      </c>
      <c r="G9" s="455"/>
      <c r="H9" s="455"/>
      <c r="I9" s="455"/>
      <c r="J9" s="10" t="s">
        <v>9</v>
      </c>
      <c r="K9" s="11">
        <v>0</v>
      </c>
      <c r="L9" s="12">
        <v>0</v>
      </c>
      <c r="M9" s="13"/>
    </row>
    <row r="10" spans="2:13">
      <c r="B10" s="90" t="s">
        <v>10</v>
      </c>
      <c r="C10" s="448" t="s">
        <v>160</v>
      </c>
      <c r="D10" s="449"/>
      <c r="E10" s="449"/>
      <c r="F10" s="449"/>
      <c r="G10" s="449"/>
      <c r="H10" s="449"/>
      <c r="I10" s="450"/>
      <c r="J10" s="10" t="s">
        <v>9</v>
      </c>
      <c r="K10" s="11">
        <v>0</v>
      </c>
      <c r="L10" s="12">
        <v>0</v>
      </c>
      <c r="M10" s="13"/>
    </row>
    <row r="11" spans="2:13">
      <c r="B11" s="90" t="s">
        <v>12</v>
      </c>
      <c r="C11" s="448" t="s">
        <v>157</v>
      </c>
      <c r="D11" s="449"/>
      <c r="E11" s="449"/>
      <c r="F11" s="449"/>
      <c r="G11" s="449"/>
      <c r="H11" s="449"/>
      <c r="I11" s="450"/>
      <c r="J11" s="10" t="s">
        <v>9</v>
      </c>
      <c r="K11" s="11">
        <v>0</v>
      </c>
      <c r="L11" s="12">
        <v>0</v>
      </c>
      <c r="M11" s="13"/>
    </row>
    <row r="12" spans="2:13">
      <c r="B12" s="90" t="s">
        <v>14</v>
      </c>
      <c r="C12" s="448" t="s">
        <v>158</v>
      </c>
      <c r="D12" s="449"/>
      <c r="E12" s="449"/>
      <c r="F12" s="449"/>
      <c r="G12" s="449"/>
      <c r="H12" s="449"/>
      <c r="I12" s="450"/>
      <c r="J12" s="10" t="s">
        <v>9</v>
      </c>
      <c r="K12" s="11">
        <v>0</v>
      </c>
      <c r="L12" s="12">
        <v>0</v>
      </c>
      <c r="M12" s="13"/>
    </row>
    <row r="13" spans="2:13">
      <c r="B13" s="90" t="s">
        <v>1</v>
      </c>
      <c r="C13" s="448" t="s">
        <v>159</v>
      </c>
      <c r="D13" s="449"/>
      <c r="E13" s="449"/>
      <c r="F13" s="449"/>
      <c r="G13" s="449"/>
      <c r="H13" s="449"/>
      <c r="I13" s="450"/>
      <c r="J13" s="10" t="s">
        <v>9</v>
      </c>
      <c r="K13" s="11">
        <v>0</v>
      </c>
      <c r="L13" s="12">
        <v>0</v>
      </c>
      <c r="M13" s="13"/>
    </row>
    <row r="14" spans="2:13">
      <c r="B14" s="90" t="s">
        <v>15</v>
      </c>
      <c r="C14" s="477" t="s">
        <v>11</v>
      </c>
      <c r="D14" s="477"/>
      <c r="E14" s="477"/>
      <c r="F14" s="477"/>
      <c r="G14" s="477"/>
      <c r="H14" s="477"/>
      <c r="I14" s="477"/>
      <c r="J14" s="10" t="s">
        <v>9</v>
      </c>
      <c r="K14" s="14">
        <v>0</v>
      </c>
      <c r="L14" s="12">
        <v>0</v>
      </c>
      <c r="M14" s="13"/>
    </row>
    <row r="15" spans="2:13">
      <c r="B15" s="90" t="s">
        <v>16</v>
      </c>
      <c r="C15" s="478" t="s">
        <v>13</v>
      </c>
      <c r="D15" s="478"/>
      <c r="E15" s="478"/>
      <c r="F15" s="478"/>
      <c r="G15" s="478"/>
      <c r="H15" s="478"/>
      <c r="I15" s="478"/>
      <c r="J15" s="478"/>
      <c r="K15" s="478"/>
      <c r="L15" s="12">
        <v>0</v>
      </c>
      <c r="M15" s="13"/>
    </row>
    <row r="16" spans="2:13">
      <c r="B16" s="90" t="s">
        <v>156</v>
      </c>
      <c r="C16" s="458" t="s">
        <v>0</v>
      </c>
      <c r="D16" s="458"/>
      <c r="E16" s="458"/>
      <c r="F16" s="458"/>
      <c r="G16" s="458"/>
      <c r="H16" s="458"/>
      <c r="I16" s="458"/>
      <c r="J16" s="458"/>
      <c r="K16" s="458"/>
      <c r="L16" s="12"/>
      <c r="M16" s="13"/>
    </row>
    <row r="17" spans="2:13">
      <c r="B17" s="479" t="s">
        <v>208</v>
      </c>
      <c r="C17" s="479"/>
      <c r="D17" s="479"/>
      <c r="E17" s="479"/>
      <c r="F17" s="479"/>
      <c r="G17" s="479"/>
      <c r="H17" s="479"/>
      <c r="I17" s="479"/>
      <c r="J17" s="479"/>
      <c r="K17" s="479"/>
      <c r="L17" s="100" t="e">
        <f>SUM(L7:L16)</f>
        <v>#REF!</v>
      </c>
      <c r="M17" s="15"/>
    </row>
    <row r="18" spans="2:13">
      <c r="B18" s="16"/>
      <c r="C18" s="16"/>
      <c r="D18" s="16"/>
      <c r="E18" s="16"/>
      <c r="F18" s="16"/>
      <c r="G18" s="16"/>
      <c r="H18" s="16"/>
      <c r="I18" s="17"/>
      <c r="J18" s="16"/>
      <c r="K18" s="16"/>
    </row>
    <row r="19" spans="2:13">
      <c r="B19" s="454" t="s">
        <v>161</v>
      </c>
      <c r="C19" s="454"/>
      <c r="D19" s="454"/>
      <c r="E19" s="454"/>
      <c r="F19" s="454"/>
      <c r="G19" s="454"/>
      <c r="H19" s="454"/>
      <c r="I19" s="454"/>
      <c r="J19" s="454"/>
      <c r="K19" s="454"/>
      <c r="L19" s="7" t="str">
        <f>L5</f>
        <v>SERVENTE</v>
      </c>
    </row>
    <row r="20" spans="2:13">
      <c r="B20" s="446" t="s">
        <v>162</v>
      </c>
      <c r="C20" s="447"/>
      <c r="D20" s="447"/>
      <c r="E20" s="447"/>
      <c r="F20" s="447"/>
      <c r="G20" s="447"/>
      <c r="H20" s="447"/>
      <c r="I20" s="447"/>
      <c r="J20" s="447"/>
      <c r="K20" s="92" t="s">
        <v>9</v>
      </c>
      <c r="L20" s="12" t="s">
        <v>166</v>
      </c>
    </row>
    <row r="21" spans="2:13">
      <c r="B21" s="90" t="s">
        <v>4</v>
      </c>
      <c r="C21" s="448" t="s">
        <v>163</v>
      </c>
      <c r="D21" s="449"/>
      <c r="E21" s="449"/>
      <c r="F21" s="449"/>
      <c r="G21" s="449"/>
      <c r="H21" s="449"/>
      <c r="I21" s="449"/>
      <c r="J21" s="450"/>
      <c r="K21" s="34">
        <v>8.3299999999999999E-2</v>
      </c>
      <c r="L21" s="12" t="e">
        <f>K21*L17</f>
        <v>#REF!</v>
      </c>
    </row>
    <row r="22" spans="2:13">
      <c r="B22" s="90" t="s">
        <v>6</v>
      </c>
      <c r="C22" s="448" t="s">
        <v>164</v>
      </c>
      <c r="D22" s="449"/>
      <c r="E22" s="449"/>
      <c r="F22" s="449"/>
      <c r="G22" s="449"/>
      <c r="H22" s="449"/>
      <c r="I22" s="449"/>
      <c r="J22" s="450"/>
      <c r="K22" s="34">
        <v>2.7799999999999998E-2</v>
      </c>
      <c r="L22" s="12" t="e">
        <f>K22*L17</f>
        <v>#REF!</v>
      </c>
    </row>
    <row r="23" spans="2:13">
      <c r="B23" s="451" t="s">
        <v>165</v>
      </c>
      <c r="C23" s="452"/>
      <c r="D23" s="452"/>
      <c r="E23" s="452"/>
      <c r="F23" s="452"/>
      <c r="G23" s="452"/>
      <c r="H23" s="452"/>
      <c r="I23" s="452"/>
      <c r="J23" s="453"/>
      <c r="K23" s="34">
        <f>SUM(K21:K22)</f>
        <v>0.1111</v>
      </c>
      <c r="L23" s="12" t="e">
        <f>SUM(L21:L22)</f>
        <v>#REF!</v>
      </c>
    </row>
    <row r="24" spans="2:13">
      <c r="B24" s="93"/>
      <c r="C24" s="94"/>
      <c r="D24" s="94"/>
      <c r="E24" s="94"/>
      <c r="F24" s="94"/>
      <c r="G24" s="94"/>
      <c r="H24" s="94"/>
      <c r="I24" s="94"/>
      <c r="J24" s="95"/>
      <c r="K24" s="34"/>
      <c r="L24" s="12"/>
    </row>
    <row r="25" spans="2:13">
      <c r="B25" s="446" t="s">
        <v>167</v>
      </c>
      <c r="C25" s="447"/>
      <c r="D25" s="447"/>
      <c r="E25" s="447"/>
      <c r="F25" s="447"/>
      <c r="G25" s="447"/>
      <c r="H25" s="447"/>
      <c r="I25" s="447"/>
      <c r="J25" s="447"/>
      <c r="K25" s="92" t="s">
        <v>9</v>
      </c>
      <c r="L25" s="12" t="s">
        <v>166</v>
      </c>
    </row>
    <row r="26" spans="2:13">
      <c r="B26" s="74" t="s">
        <v>4</v>
      </c>
      <c r="C26" s="455" t="s">
        <v>17</v>
      </c>
      <c r="D26" s="455"/>
      <c r="E26" s="455"/>
      <c r="F26" s="455"/>
      <c r="G26" s="455"/>
      <c r="H26" s="455"/>
      <c r="I26" s="455"/>
      <c r="J26" s="455"/>
      <c r="K26" s="27">
        <v>0.2</v>
      </c>
      <c r="L26" s="28" t="e">
        <f>ROUND($K$26*L17,2)</f>
        <v>#REF!</v>
      </c>
    </row>
    <row r="27" spans="2:13">
      <c r="B27" s="74" t="s">
        <v>6</v>
      </c>
      <c r="C27" s="455" t="s">
        <v>18</v>
      </c>
      <c r="D27" s="455"/>
      <c r="E27" s="455"/>
      <c r="F27" s="455"/>
      <c r="G27" s="455"/>
      <c r="H27" s="455"/>
      <c r="I27" s="455"/>
      <c r="J27" s="455"/>
      <c r="K27" s="27">
        <v>1.4999999999999999E-2</v>
      </c>
      <c r="L27" s="28" t="e">
        <f>ROUND($K$27*L17,2)</f>
        <v>#REF!</v>
      </c>
    </row>
    <row r="28" spans="2:13">
      <c r="B28" s="74" t="s">
        <v>10</v>
      </c>
      <c r="C28" s="455" t="s">
        <v>19</v>
      </c>
      <c r="D28" s="455"/>
      <c r="E28" s="455"/>
      <c r="F28" s="455"/>
      <c r="G28" s="455"/>
      <c r="H28" s="455"/>
      <c r="I28" s="455"/>
      <c r="J28" s="455"/>
      <c r="K28" s="27">
        <v>0.01</v>
      </c>
      <c r="L28" s="28" t="e">
        <f>ROUND(K28*$L$17,2)</f>
        <v>#REF!</v>
      </c>
    </row>
    <row r="29" spans="2:13">
      <c r="B29" s="74" t="s">
        <v>12</v>
      </c>
      <c r="C29" s="455" t="s">
        <v>20</v>
      </c>
      <c r="D29" s="455"/>
      <c r="E29" s="455"/>
      <c r="F29" s="455"/>
      <c r="G29" s="455"/>
      <c r="H29" s="455"/>
      <c r="I29" s="455"/>
      <c r="J29" s="455"/>
      <c r="K29" s="27">
        <v>2E-3</v>
      </c>
      <c r="L29" s="28" t="e">
        <f>ROUND(K29*$L$17,2)</f>
        <v>#REF!</v>
      </c>
    </row>
    <row r="30" spans="2:13">
      <c r="B30" s="74" t="s">
        <v>14</v>
      </c>
      <c r="C30" s="455" t="s">
        <v>21</v>
      </c>
      <c r="D30" s="455"/>
      <c r="E30" s="455"/>
      <c r="F30" s="455"/>
      <c r="G30" s="455"/>
      <c r="H30" s="455"/>
      <c r="I30" s="455"/>
      <c r="J30" s="455"/>
      <c r="K30" s="27">
        <v>2.5000000000000001E-2</v>
      </c>
      <c r="L30" s="28" t="e">
        <f>ROUND(K30*$L$17,2)</f>
        <v>#REF!</v>
      </c>
      <c r="M30" s="29"/>
    </row>
    <row r="31" spans="2:13">
      <c r="B31" s="74" t="s">
        <v>1</v>
      </c>
      <c r="C31" s="448" t="s">
        <v>153</v>
      </c>
      <c r="D31" s="450"/>
      <c r="E31" s="459">
        <v>0.08</v>
      </c>
      <c r="F31" s="460"/>
      <c r="G31" s="448" t="s">
        <v>152</v>
      </c>
      <c r="H31" s="449"/>
      <c r="I31" s="449"/>
      <c r="J31" s="450"/>
      <c r="K31" s="27">
        <f>E31*(1+(1/12)+(1/12/3))</f>
        <v>8.8888888888888878E-2</v>
      </c>
      <c r="L31" s="28" t="e">
        <f>ROUND(K31*($L$17+(1/3/12*L17)+(1/12*L17)),2)</f>
        <v>#REF!</v>
      </c>
      <c r="M31" s="1" t="s">
        <v>168</v>
      </c>
    </row>
    <row r="32" spans="2:13">
      <c r="B32" s="74" t="s">
        <v>15</v>
      </c>
      <c r="C32" s="455" t="s">
        <v>22</v>
      </c>
      <c r="D32" s="455"/>
      <c r="E32" s="455"/>
      <c r="F32" s="455"/>
      <c r="G32" s="73" t="s">
        <v>23</v>
      </c>
      <c r="H32" s="30">
        <v>0.03</v>
      </c>
      <c r="I32" s="73" t="s">
        <v>24</v>
      </c>
      <c r="J32" s="63">
        <v>1</v>
      </c>
      <c r="K32" s="31">
        <f>H32*J32</f>
        <v>0.03</v>
      </c>
      <c r="L32" s="28" t="e">
        <f>ROUND(K32*$L$17,2)</f>
        <v>#REF!</v>
      </c>
    </row>
    <row r="33" spans="2:20">
      <c r="B33" s="74" t="s">
        <v>16</v>
      </c>
      <c r="C33" s="455" t="s">
        <v>25</v>
      </c>
      <c r="D33" s="455"/>
      <c r="E33" s="455"/>
      <c r="F33" s="455"/>
      <c r="G33" s="455"/>
      <c r="H33" s="455"/>
      <c r="I33" s="455"/>
      <c r="J33" s="455"/>
      <c r="K33" s="27">
        <v>6.0000000000000001E-3</v>
      </c>
      <c r="L33" s="28" t="e">
        <f>ROUND(K33*$L$17,2)</f>
        <v>#REF!</v>
      </c>
      <c r="M33" s="2"/>
      <c r="N33" s="2"/>
      <c r="O33" s="2"/>
      <c r="P33" s="2"/>
      <c r="Q33" s="2"/>
      <c r="R33" s="2"/>
      <c r="S33" s="2"/>
      <c r="T33" s="2"/>
    </row>
    <row r="34" spans="2:20">
      <c r="B34" s="451" t="s">
        <v>169</v>
      </c>
      <c r="C34" s="452"/>
      <c r="D34" s="452"/>
      <c r="E34" s="452"/>
      <c r="F34" s="452"/>
      <c r="G34" s="452"/>
      <c r="H34" s="452"/>
      <c r="I34" s="452"/>
      <c r="J34" s="453"/>
      <c r="K34" s="34">
        <f>SUM(K26:K33)</f>
        <v>0.37688888888888894</v>
      </c>
      <c r="L34" s="12" t="e">
        <f>SUM(L26:L33)</f>
        <v>#REF!</v>
      </c>
      <c r="M34" s="2"/>
      <c r="N34" s="2"/>
      <c r="O34" s="2"/>
      <c r="P34" s="2"/>
      <c r="Q34" s="2"/>
      <c r="R34" s="2"/>
      <c r="S34" s="2"/>
      <c r="T34" s="2"/>
    </row>
    <row r="35" spans="2:20">
      <c r="B35" s="93"/>
      <c r="C35" s="94"/>
      <c r="D35" s="94"/>
      <c r="E35" s="94"/>
      <c r="F35" s="94"/>
      <c r="G35" s="94"/>
      <c r="H35" s="94"/>
      <c r="I35" s="94"/>
      <c r="J35" s="95"/>
      <c r="K35" s="34"/>
      <c r="L35" s="12"/>
      <c r="M35" s="2"/>
      <c r="N35" s="2"/>
      <c r="O35" s="2"/>
      <c r="P35" s="2"/>
      <c r="Q35" s="2"/>
      <c r="R35" s="2"/>
      <c r="S35" s="2"/>
      <c r="T35" s="2"/>
    </row>
    <row r="36" spans="2:20">
      <c r="B36" s="446" t="s">
        <v>170</v>
      </c>
      <c r="C36" s="447"/>
      <c r="D36" s="447"/>
      <c r="E36" s="447"/>
      <c r="F36" s="447"/>
      <c r="G36" s="447"/>
      <c r="H36" s="447"/>
      <c r="I36" s="447"/>
      <c r="J36" s="447"/>
      <c r="K36" s="92"/>
      <c r="L36" s="12" t="s">
        <v>166</v>
      </c>
    </row>
    <row r="37" spans="2:20">
      <c r="B37" s="69" t="s">
        <v>4</v>
      </c>
      <c r="C37" s="448" t="e">
        <f>#REF!</f>
        <v>#REF!</v>
      </c>
      <c r="D37" s="449"/>
      <c r="E37" s="449"/>
      <c r="F37" s="449"/>
      <c r="G37" s="449"/>
      <c r="H37" s="449"/>
      <c r="I37" s="449"/>
      <c r="J37" s="450"/>
      <c r="K37" s="80"/>
      <c r="L37" s="12" t="e">
        <f>#REF!</f>
        <v>#REF!</v>
      </c>
    </row>
    <row r="38" spans="2:20">
      <c r="B38" s="69" t="s">
        <v>6</v>
      </c>
      <c r="C38" s="448" t="e">
        <f>#REF!</f>
        <v>#REF!</v>
      </c>
      <c r="D38" s="449"/>
      <c r="E38" s="449"/>
      <c r="F38" s="449"/>
      <c r="G38" s="449"/>
      <c r="H38" s="449"/>
      <c r="I38" s="449"/>
      <c r="J38" s="450"/>
      <c r="K38" s="80"/>
      <c r="L38" s="12" t="e">
        <f>#REF!</f>
        <v>#REF!</v>
      </c>
    </row>
    <row r="39" spans="2:20">
      <c r="B39" s="69" t="s">
        <v>10</v>
      </c>
      <c r="C39" s="448" t="e">
        <f>#REF!</f>
        <v>#REF!</v>
      </c>
      <c r="D39" s="449"/>
      <c r="E39" s="449"/>
      <c r="F39" s="449"/>
      <c r="G39" s="449"/>
      <c r="H39" s="449"/>
      <c r="I39" s="449"/>
      <c r="J39" s="450"/>
      <c r="K39" s="80"/>
      <c r="L39" s="12" t="e">
        <f>#REF!</f>
        <v>#REF!</v>
      </c>
    </row>
    <row r="40" spans="2:20">
      <c r="B40" s="79" t="s">
        <v>12</v>
      </c>
      <c r="C40" s="448" t="e">
        <f>#REF!</f>
        <v>#REF!</v>
      </c>
      <c r="D40" s="449"/>
      <c r="E40" s="449"/>
      <c r="F40" s="449"/>
      <c r="G40" s="449"/>
      <c r="H40" s="449"/>
      <c r="I40" s="449"/>
      <c r="J40" s="450"/>
      <c r="K40" s="80"/>
      <c r="L40" s="12" t="e">
        <f>#REF!</f>
        <v>#REF!</v>
      </c>
    </row>
    <row r="41" spans="2:20">
      <c r="B41" s="79" t="s">
        <v>14</v>
      </c>
      <c r="C41" s="448" t="e">
        <f>#REF!</f>
        <v>#REF!</v>
      </c>
      <c r="D41" s="449"/>
      <c r="E41" s="449"/>
      <c r="F41" s="449"/>
      <c r="G41" s="449"/>
      <c r="H41" s="449"/>
      <c r="I41" s="449"/>
      <c r="J41" s="450"/>
      <c r="K41" s="81"/>
      <c r="L41" s="12" t="e">
        <f>#REF!</f>
        <v>#REF!</v>
      </c>
    </row>
    <row r="42" spans="2:20">
      <c r="B42" s="79" t="s">
        <v>1</v>
      </c>
      <c r="C42" s="448" t="e">
        <f>#REF!</f>
        <v>#REF!</v>
      </c>
      <c r="D42" s="449"/>
      <c r="E42" s="449"/>
      <c r="F42" s="449"/>
      <c r="G42" s="449"/>
      <c r="H42" s="449"/>
      <c r="I42" s="449"/>
      <c r="J42" s="450"/>
      <c r="K42" s="82"/>
      <c r="L42" s="12" t="e">
        <f>#REF!</f>
        <v>#REF!</v>
      </c>
    </row>
    <row r="43" spans="2:20">
      <c r="B43" s="79" t="s">
        <v>15</v>
      </c>
      <c r="C43" s="448" t="e">
        <f>#REF!</f>
        <v>#REF!</v>
      </c>
      <c r="D43" s="449"/>
      <c r="E43" s="449"/>
      <c r="F43" s="449"/>
      <c r="G43" s="449"/>
      <c r="H43" s="449"/>
      <c r="I43" s="449"/>
      <c r="J43" s="450"/>
      <c r="K43" s="82"/>
      <c r="L43" s="12" t="e">
        <f>#REF!</f>
        <v>#REF!</v>
      </c>
    </row>
    <row r="44" spans="2:20">
      <c r="B44" s="79" t="s">
        <v>16</v>
      </c>
      <c r="C44" s="458" t="s">
        <v>0</v>
      </c>
      <c r="D44" s="458"/>
      <c r="E44" s="458"/>
      <c r="F44" s="458"/>
      <c r="G44" s="458"/>
      <c r="H44" s="458"/>
      <c r="I44" s="458"/>
      <c r="J44" s="458"/>
      <c r="K44" s="458"/>
      <c r="L44" s="19">
        <v>0</v>
      </c>
    </row>
    <row r="45" spans="2:20">
      <c r="B45" s="451" t="s">
        <v>172</v>
      </c>
      <c r="C45" s="452"/>
      <c r="D45" s="452"/>
      <c r="E45" s="452"/>
      <c r="F45" s="452"/>
      <c r="G45" s="452"/>
      <c r="H45" s="452"/>
      <c r="I45" s="452"/>
      <c r="J45" s="453"/>
      <c r="K45" s="34"/>
      <c r="L45" s="12" t="e">
        <f>SUM(L37:L44)</f>
        <v>#REF!</v>
      </c>
    </row>
    <row r="46" spans="2:20">
      <c r="B46" s="93"/>
      <c r="C46" s="94"/>
      <c r="D46" s="94"/>
      <c r="E46" s="94"/>
      <c r="F46" s="94"/>
      <c r="G46" s="94"/>
      <c r="H46" s="94"/>
      <c r="I46" s="94"/>
      <c r="J46" s="95"/>
      <c r="K46" s="34"/>
      <c r="L46" s="12"/>
    </row>
    <row r="47" spans="2:20">
      <c r="B47" s="473" t="s">
        <v>173</v>
      </c>
      <c r="C47" s="473"/>
      <c r="D47" s="473"/>
      <c r="E47" s="473"/>
      <c r="F47" s="473"/>
      <c r="G47" s="473"/>
      <c r="H47" s="473"/>
      <c r="I47" s="473"/>
      <c r="J47" s="473"/>
      <c r="K47" s="473"/>
      <c r="L47" s="7" t="str">
        <f>L5</f>
        <v>SERVENTE</v>
      </c>
    </row>
    <row r="48" spans="2:20">
      <c r="B48" s="90" t="s">
        <v>174</v>
      </c>
      <c r="C48" s="448" t="s">
        <v>177</v>
      </c>
      <c r="D48" s="449"/>
      <c r="E48" s="449"/>
      <c r="F48" s="449"/>
      <c r="G48" s="449"/>
      <c r="H48" s="449"/>
      <c r="I48" s="449"/>
      <c r="J48" s="450"/>
      <c r="K48" s="80"/>
      <c r="L48" s="12" t="e">
        <f>L23</f>
        <v>#REF!</v>
      </c>
    </row>
    <row r="49" spans="2:12">
      <c r="B49" s="90" t="s">
        <v>175</v>
      </c>
      <c r="C49" s="448" t="s">
        <v>178</v>
      </c>
      <c r="D49" s="449"/>
      <c r="E49" s="449"/>
      <c r="F49" s="449"/>
      <c r="G49" s="449"/>
      <c r="H49" s="449"/>
      <c r="I49" s="449"/>
      <c r="J49" s="450"/>
      <c r="K49" s="80"/>
      <c r="L49" s="12" t="e">
        <f>L34</f>
        <v>#REF!</v>
      </c>
    </row>
    <row r="50" spans="2:12">
      <c r="B50" s="90" t="s">
        <v>176</v>
      </c>
      <c r="C50" s="448" t="s">
        <v>180</v>
      </c>
      <c r="D50" s="449"/>
      <c r="E50" s="449"/>
      <c r="F50" s="449"/>
      <c r="G50" s="449"/>
      <c r="H50" s="449"/>
      <c r="I50" s="449"/>
      <c r="J50" s="450"/>
      <c r="K50" s="80"/>
      <c r="L50" s="12" t="e">
        <f>L45</f>
        <v>#REF!</v>
      </c>
    </row>
    <row r="51" spans="2:12">
      <c r="B51" s="474" t="s">
        <v>179</v>
      </c>
      <c r="C51" s="475"/>
      <c r="D51" s="475"/>
      <c r="E51" s="475"/>
      <c r="F51" s="475"/>
      <c r="G51" s="475"/>
      <c r="H51" s="475"/>
      <c r="I51" s="475"/>
      <c r="J51" s="476"/>
      <c r="K51" s="101"/>
      <c r="L51" s="102" t="e">
        <f>SUM(L48:L50)</f>
        <v>#REF!</v>
      </c>
    </row>
    <row r="52" spans="2:12">
      <c r="B52" s="461"/>
      <c r="C52" s="462"/>
      <c r="D52" s="462"/>
      <c r="E52" s="462"/>
      <c r="F52" s="462"/>
      <c r="G52" s="462"/>
      <c r="H52" s="462"/>
      <c r="I52" s="462"/>
      <c r="J52" s="462"/>
      <c r="K52" s="462"/>
      <c r="L52" s="462"/>
    </row>
    <row r="53" spans="2:12">
      <c r="B53" s="454" t="s">
        <v>171</v>
      </c>
      <c r="C53" s="454"/>
      <c r="D53" s="454"/>
      <c r="E53" s="454"/>
      <c r="F53" s="454"/>
      <c r="G53" s="454"/>
      <c r="H53" s="454"/>
      <c r="I53" s="454"/>
      <c r="J53" s="454"/>
      <c r="K53" s="97" t="s">
        <v>9</v>
      </c>
      <c r="L53" s="98" t="s">
        <v>166</v>
      </c>
    </row>
    <row r="54" spans="2:12">
      <c r="B54" s="69" t="s">
        <v>4</v>
      </c>
      <c r="C54" s="455" t="s">
        <v>26</v>
      </c>
      <c r="D54" s="455"/>
      <c r="E54" s="455"/>
      <c r="F54" s="455"/>
      <c r="G54" s="455"/>
      <c r="H54" s="455"/>
      <c r="I54" s="38">
        <v>30</v>
      </c>
      <c r="J54" s="39">
        <v>0.05</v>
      </c>
      <c r="K54" s="34">
        <f>I54/30/12*J54</f>
        <v>4.1666666666666666E-3</v>
      </c>
      <c r="L54" s="12" t="e">
        <f t="shared" ref="L54:L59" si="0">ROUND(K54*$L$17,2)</f>
        <v>#REF!</v>
      </c>
    </row>
    <row r="55" spans="2:12">
      <c r="B55" s="69" t="s">
        <v>6</v>
      </c>
      <c r="C55" s="455" t="s">
        <v>27</v>
      </c>
      <c r="D55" s="455"/>
      <c r="E55" s="455"/>
      <c r="F55" s="455"/>
      <c r="G55" s="455"/>
      <c r="H55" s="455"/>
      <c r="I55" s="455"/>
      <c r="J55" s="455"/>
      <c r="K55" s="34">
        <f>K31*K54</f>
        <v>3.703703703703703E-4</v>
      </c>
      <c r="L55" s="12" t="e">
        <f t="shared" si="0"/>
        <v>#REF!</v>
      </c>
    </row>
    <row r="56" spans="2:12">
      <c r="B56" s="90" t="s">
        <v>10</v>
      </c>
      <c r="C56" s="455" t="s">
        <v>182</v>
      </c>
      <c r="D56" s="455"/>
      <c r="E56" s="455"/>
      <c r="F56" s="455"/>
      <c r="G56" s="455"/>
      <c r="H56" s="455"/>
      <c r="I56" s="455"/>
      <c r="J56" s="455"/>
      <c r="K56" s="34">
        <f>0.5*K55</f>
        <v>1.8518518518518515E-4</v>
      </c>
      <c r="L56" s="12" t="e">
        <f t="shared" si="0"/>
        <v>#REF!</v>
      </c>
    </row>
    <row r="57" spans="2:12">
      <c r="B57" s="90" t="s">
        <v>12</v>
      </c>
      <c r="C57" s="455" t="s">
        <v>184</v>
      </c>
      <c r="D57" s="455"/>
      <c r="E57" s="455"/>
      <c r="F57" s="455"/>
      <c r="G57" s="455"/>
      <c r="H57" s="455"/>
      <c r="I57" s="455"/>
      <c r="J57" s="455"/>
      <c r="K57" s="34">
        <v>4.0000000000000002E-4</v>
      </c>
      <c r="L57" s="12" t="e">
        <f t="shared" si="0"/>
        <v>#REF!</v>
      </c>
    </row>
    <row r="58" spans="2:12">
      <c r="B58" s="90" t="s">
        <v>14</v>
      </c>
      <c r="C58" s="455" t="s">
        <v>183</v>
      </c>
      <c r="D58" s="455"/>
      <c r="E58" s="455"/>
      <c r="F58" s="455"/>
      <c r="G58" s="455"/>
      <c r="H58" s="455"/>
      <c r="I58" s="455"/>
      <c r="J58" s="455"/>
      <c r="K58" s="34">
        <f>K34*K57</f>
        <v>1.5075555555555558E-4</v>
      </c>
      <c r="L58" s="12" t="e">
        <f t="shared" si="0"/>
        <v>#REF!</v>
      </c>
    </row>
    <row r="59" spans="2:12">
      <c r="B59" s="90" t="s">
        <v>1</v>
      </c>
      <c r="C59" s="455" t="s">
        <v>185</v>
      </c>
      <c r="D59" s="455"/>
      <c r="E59" s="455"/>
      <c r="F59" s="455"/>
      <c r="G59" s="455"/>
      <c r="H59" s="455"/>
      <c r="I59" s="455"/>
      <c r="J59" s="455"/>
      <c r="K59" s="96">
        <f>0.5*0.08*K57</f>
        <v>1.6000000000000003E-5</v>
      </c>
      <c r="L59" s="12" t="e">
        <f t="shared" si="0"/>
        <v>#REF!</v>
      </c>
    </row>
    <row r="60" spans="2:12" ht="15" customHeight="1">
      <c r="B60" s="474" t="s">
        <v>181</v>
      </c>
      <c r="C60" s="475"/>
      <c r="D60" s="475"/>
      <c r="E60" s="475"/>
      <c r="F60" s="475"/>
      <c r="G60" s="475"/>
      <c r="H60" s="475"/>
      <c r="I60" s="475"/>
      <c r="J60" s="476"/>
      <c r="K60" s="101"/>
      <c r="L60" s="102" t="e">
        <f>SUM(L54:L59)</f>
        <v>#REF!</v>
      </c>
    </row>
    <row r="61" spans="2:12">
      <c r="B61" s="20"/>
      <c r="C61" s="16"/>
      <c r="D61" s="16"/>
      <c r="E61" s="20"/>
      <c r="F61" s="20"/>
      <c r="G61" s="20"/>
      <c r="H61" s="20"/>
      <c r="I61" s="21"/>
      <c r="J61" s="22"/>
      <c r="K61" s="20"/>
    </row>
    <row r="62" spans="2:12">
      <c r="B62" s="454" t="s">
        <v>186</v>
      </c>
      <c r="C62" s="454"/>
      <c r="D62" s="454"/>
      <c r="E62" s="454"/>
      <c r="F62" s="454"/>
      <c r="G62" s="454"/>
      <c r="H62" s="454"/>
      <c r="I62" s="454"/>
      <c r="J62" s="454"/>
      <c r="K62" s="97"/>
      <c r="L62" s="98"/>
    </row>
    <row r="63" spans="2:12">
      <c r="B63" s="446" t="s">
        <v>191</v>
      </c>
      <c r="C63" s="447"/>
      <c r="D63" s="447"/>
      <c r="E63" s="447"/>
      <c r="F63" s="447"/>
      <c r="G63" s="447"/>
      <c r="H63" s="447"/>
      <c r="I63" s="447"/>
      <c r="J63" s="447"/>
      <c r="K63" s="92" t="s">
        <v>9</v>
      </c>
      <c r="L63" s="12" t="s">
        <v>166</v>
      </c>
    </row>
    <row r="64" spans="2:12">
      <c r="B64" s="69" t="s">
        <v>4</v>
      </c>
      <c r="C64" s="421" t="s">
        <v>187</v>
      </c>
      <c r="D64" s="421"/>
      <c r="E64" s="421"/>
      <c r="F64" s="421"/>
      <c r="G64" s="421"/>
      <c r="H64" s="421"/>
      <c r="I64" s="421"/>
      <c r="J64" s="421"/>
      <c r="K64" s="41">
        <f>1/12</f>
        <v>8.3333333333333329E-2</v>
      </c>
      <c r="L64" s="12" t="e">
        <f t="shared" ref="L64:L69" si="1">K64*$L$17</f>
        <v>#REF!</v>
      </c>
    </row>
    <row r="65" spans="2:13">
      <c r="B65" s="69" t="s">
        <v>6</v>
      </c>
      <c r="C65" s="455" t="s">
        <v>188</v>
      </c>
      <c r="D65" s="455"/>
      <c r="E65" s="455"/>
      <c r="F65" s="455"/>
      <c r="G65" s="456" t="s">
        <v>29</v>
      </c>
      <c r="H65" s="456"/>
      <c r="I65" s="456"/>
      <c r="J65" s="42">
        <v>3</v>
      </c>
      <c r="K65" s="41">
        <f>J65/30/12</f>
        <v>8.3333333333333332E-3</v>
      </c>
      <c r="L65" s="12" t="e">
        <f t="shared" si="1"/>
        <v>#REF!</v>
      </c>
      <c r="M65" s="1" t="s">
        <v>168</v>
      </c>
    </row>
    <row r="66" spans="2:13">
      <c r="B66" s="69" t="s">
        <v>10</v>
      </c>
      <c r="C66" s="455" t="s">
        <v>30</v>
      </c>
      <c r="D66" s="455"/>
      <c r="E66" s="455"/>
      <c r="F66" s="455"/>
      <c r="G66" s="456" t="s">
        <v>28</v>
      </c>
      <c r="H66" s="456"/>
      <c r="I66" s="36">
        <v>1.4999999999999999E-2</v>
      </c>
      <c r="J66" s="43">
        <v>5</v>
      </c>
      <c r="K66" s="41">
        <f>J66/30/12*I66</f>
        <v>2.0833333333333332E-4</v>
      </c>
      <c r="L66" s="12" t="e">
        <f t="shared" si="1"/>
        <v>#REF!</v>
      </c>
    </row>
    <row r="67" spans="2:13">
      <c r="B67" s="69" t="s">
        <v>12</v>
      </c>
      <c r="C67" s="456" t="s">
        <v>189</v>
      </c>
      <c r="D67" s="456"/>
      <c r="E67" s="456"/>
      <c r="F67" s="42"/>
      <c r="G67" s="456" t="s">
        <v>28</v>
      </c>
      <c r="H67" s="456"/>
      <c r="I67" s="36">
        <v>7.7999999999999996E-3</v>
      </c>
      <c r="J67" s="44">
        <v>15</v>
      </c>
      <c r="K67" s="41">
        <f>J67/30/12*I67</f>
        <v>3.2499999999999999E-4</v>
      </c>
      <c r="L67" s="12" t="e">
        <f t="shared" si="1"/>
        <v>#REF!</v>
      </c>
    </row>
    <row r="68" spans="2:13">
      <c r="B68" s="69" t="s">
        <v>14</v>
      </c>
      <c r="C68" s="456" t="s">
        <v>190</v>
      </c>
      <c r="D68" s="456"/>
      <c r="E68" s="456"/>
      <c r="F68" s="42"/>
      <c r="G68" s="457"/>
      <c r="H68" s="456"/>
      <c r="I68" s="36"/>
      <c r="J68" s="44"/>
      <c r="K68" s="41">
        <v>6.1000000000000004E-3</v>
      </c>
      <c r="L68" s="12" t="e">
        <f t="shared" si="1"/>
        <v>#REF!</v>
      </c>
      <c r="M68" s="64" t="s">
        <v>168</v>
      </c>
    </row>
    <row r="69" spans="2:13">
      <c r="B69" s="69" t="s">
        <v>1</v>
      </c>
      <c r="C69" s="458" t="s">
        <v>0</v>
      </c>
      <c r="D69" s="458"/>
      <c r="E69" s="458" t="s">
        <v>31</v>
      </c>
      <c r="F69" s="458"/>
      <c r="G69" s="458"/>
      <c r="H69" s="458"/>
      <c r="I69" s="458"/>
      <c r="J69" s="458"/>
      <c r="K69" s="45"/>
      <c r="L69" s="12" t="e">
        <f t="shared" si="1"/>
        <v>#REF!</v>
      </c>
      <c r="M69" s="64"/>
    </row>
    <row r="70" spans="2:13">
      <c r="B70" s="451" t="s">
        <v>192</v>
      </c>
      <c r="C70" s="452"/>
      <c r="D70" s="452"/>
      <c r="E70" s="452"/>
      <c r="F70" s="452"/>
      <c r="G70" s="452"/>
      <c r="H70" s="452"/>
      <c r="I70" s="452"/>
      <c r="J70" s="453"/>
      <c r="K70" s="46"/>
      <c r="L70" s="12" t="e">
        <f>SUM(L64:L69)</f>
        <v>#REF!</v>
      </c>
    </row>
    <row r="71" spans="2:13">
      <c r="B71" s="93"/>
      <c r="C71" s="94"/>
      <c r="D71" s="94"/>
      <c r="E71" s="94"/>
      <c r="F71" s="94"/>
      <c r="G71" s="94"/>
      <c r="H71" s="94"/>
      <c r="I71" s="94"/>
      <c r="J71" s="95"/>
      <c r="K71" s="34"/>
      <c r="L71" s="12"/>
    </row>
    <row r="72" spans="2:13">
      <c r="B72" s="446" t="s">
        <v>193</v>
      </c>
      <c r="C72" s="447"/>
      <c r="D72" s="447"/>
      <c r="E72" s="447"/>
      <c r="F72" s="447"/>
      <c r="G72" s="447"/>
      <c r="H72" s="447"/>
      <c r="I72" s="447"/>
      <c r="J72" s="447"/>
      <c r="K72" s="92" t="s">
        <v>9</v>
      </c>
      <c r="L72" s="12" t="s">
        <v>166</v>
      </c>
    </row>
    <row r="73" spans="2:13">
      <c r="B73" s="90" t="s">
        <v>4</v>
      </c>
      <c r="C73" s="421" t="s">
        <v>194</v>
      </c>
      <c r="D73" s="421"/>
      <c r="E73" s="421"/>
      <c r="F73" s="421"/>
      <c r="G73" s="421"/>
      <c r="H73" s="421"/>
      <c r="I73" s="421"/>
      <c r="J73" s="421"/>
      <c r="K73" s="41">
        <v>0</v>
      </c>
      <c r="L73" s="12" t="e">
        <f>K73*$L$17</f>
        <v>#REF!</v>
      </c>
    </row>
    <row r="74" spans="2:13">
      <c r="B74" s="451" t="s">
        <v>195</v>
      </c>
      <c r="C74" s="452"/>
      <c r="D74" s="452"/>
      <c r="E74" s="452"/>
      <c r="F74" s="452"/>
      <c r="G74" s="452"/>
      <c r="H74" s="452"/>
      <c r="I74" s="452"/>
      <c r="J74" s="453"/>
      <c r="K74" s="46"/>
      <c r="L74" s="12" t="e">
        <f>SUM(L73:L73)</f>
        <v>#REF!</v>
      </c>
    </row>
    <row r="75" spans="2:13">
      <c r="B75" s="93"/>
      <c r="C75" s="94"/>
      <c r="D75" s="94"/>
      <c r="E75" s="94"/>
      <c r="F75" s="94"/>
      <c r="G75" s="94"/>
      <c r="H75" s="94"/>
      <c r="I75" s="94"/>
      <c r="J75" s="94"/>
      <c r="K75" s="99"/>
      <c r="L75" s="12"/>
    </row>
    <row r="76" spans="2:13">
      <c r="B76" s="473" t="s">
        <v>196</v>
      </c>
      <c r="C76" s="473"/>
      <c r="D76" s="473"/>
      <c r="E76" s="473"/>
      <c r="F76" s="473"/>
      <c r="G76" s="473"/>
      <c r="H76" s="473"/>
      <c r="I76" s="473"/>
      <c r="J76" s="473"/>
      <c r="K76" s="473"/>
      <c r="L76" s="7" t="e">
        <f>L34</f>
        <v>#REF!</v>
      </c>
    </row>
    <row r="77" spans="2:13">
      <c r="B77" s="90" t="s">
        <v>197</v>
      </c>
      <c r="C77" s="448" t="s">
        <v>188</v>
      </c>
      <c r="D77" s="449"/>
      <c r="E77" s="449"/>
      <c r="F77" s="449"/>
      <c r="G77" s="449"/>
      <c r="H77" s="449"/>
      <c r="I77" s="449"/>
      <c r="J77" s="450"/>
      <c r="K77" s="80"/>
      <c r="L77" s="12" t="e">
        <f>L70</f>
        <v>#REF!</v>
      </c>
    </row>
    <row r="78" spans="2:13">
      <c r="B78" s="90" t="s">
        <v>198</v>
      </c>
      <c r="C78" s="448" t="s">
        <v>199</v>
      </c>
      <c r="D78" s="449"/>
      <c r="E78" s="449"/>
      <c r="F78" s="449"/>
      <c r="G78" s="449"/>
      <c r="H78" s="449"/>
      <c r="I78" s="449"/>
      <c r="J78" s="450"/>
      <c r="K78" s="80"/>
      <c r="L78" s="12" t="e">
        <f>L74</f>
        <v>#REF!</v>
      </c>
    </row>
    <row r="79" spans="2:13">
      <c r="B79" s="474" t="s">
        <v>200</v>
      </c>
      <c r="C79" s="475"/>
      <c r="D79" s="475"/>
      <c r="E79" s="475"/>
      <c r="F79" s="475"/>
      <c r="G79" s="475"/>
      <c r="H79" s="475"/>
      <c r="I79" s="475"/>
      <c r="J79" s="476"/>
      <c r="K79" s="101"/>
      <c r="L79" s="102" t="e">
        <f>SUM(L77:L78)</f>
        <v>#REF!</v>
      </c>
    </row>
    <row r="80" spans="2:13">
      <c r="B80" s="461"/>
      <c r="C80" s="462"/>
      <c r="D80" s="462"/>
      <c r="E80" s="462"/>
      <c r="F80" s="462"/>
      <c r="G80" s="462"/>
      <c r="H80" s="462"/>
      <c r="I80" s="462"/>
      <c r="J80" s="462"/>
      <c r="K80" s="462"/>
      <c r="L80" s="462"/>
    </row>
    <row r="81" spans="2:13">
      <c r="B81" s="454" t="s">
        <v>201</v>
      </c>
      <c r="C81" s="454"/>
      <c r="D81" s="454"/>
      <c r="E81" s="454"/>
      <c r="F81" s="454"/>
      <c r="G81" s="454"/>
      <c r="H81" s="454"/>
      <c r="I81" s="454"/>
      <c r="J81" s="454"/>
      <c r="K81" s="97"/>
      <c r="L81" s="98"/>
      <c r="M81" s="23"/>
    </row>
    <row r="82" spans="2:13">
      <c r="B82" s="69" t="s">
        <v>4</v>
      </c>
      <c r="C82" s="470" t="s">
        <v>54</v>
      </c>
      <c r="D82" s="470"/>
      <c r="E82" s="470"/>
      <c r="F82" s="470"/>
      <c r="G82" s="470"/>
      <c r="H82" s="470"/>
      <c r="I82" s="470"/>
      <c r="J82" s="470"/>
      <c r="K82" s="470"/>
      <c r="L82" s="12" t="e">
        <f>#REF!</f>
        <v>#REF!</v>
      </c>
    </row>
    <row r="83" spans="2:13">
      <c r="B83" s="69" t="s">
        <v>6</v>
      </c>
      <c r="C83" s="408" t="s">
        <v>203</v>
      </c>
      <c r="D83" s="409"/>
      <c r="E83" s="410" t="s">
        <v>55</v>
      </c>
      <c r="F83" s="411"/>
      <c r="G83" s="411"/>
      <c r="H83" s="411"/>
      <c r="I83" s="412"/>
      <c r="J83" s="471">
        <v>0.12</v>
      </c>
      <c r="K83" s="472"/>
      <c r="L83" s="19" t="e">
        <f>(L17+L51+L60+L79+L82)/(1-J83)*J83</f>
        <v>#REF!</v>
      </c>
      <c r="M83" s="24"/>
    </row>
    <row r="84" spans="2:13">
      <c r="B84" s="91" t="s">
        <v>210</v>
      </c>
      <c r="C84" s="408" t="s">
        <v>211</v>
      </c>
      <c r="D84" s="409"/>
      <c r="E84" s="410"/>
      <c r="F84" s="411"/>
      <c r="G84" s="411"/>
      <c r="H84" s="411"/>
      <c r="I84" s="412"/>
      <c r="J84" s="413">
        <f>H95+H96</f>
        <v>9.2499999999999999E-2</v>
      </c>
      <c r="K84" s="414"/>
      <c r="L84" s="19" t="e">
        <f>-J84*L83</f>
        <v>#REF!</v>
      </c>
      <c r="M84" s="24"/>
    </row>
    <row r="85" spans="2:13">
      <c r="B85" s="90" t="s">
        <v>10</v>
      </c>
      <c r="C85" s="83" t="s">
        <v>202</v>
      </c>
      <c r="D85" s="84"/>
      <c r="E85" s="85"/>
      <c r="F85" s="86"/>
      <c r="G85" s="86"/>
      <c r="H85" s="86"/>
      <c r="I85" s="87"/>
      <c r="J85" s="88"/>
      <c r="K85" s="89"/>
      <c r="L85" s="19"/>
      <c r="M85" s="24"/>
    </row>
    <row r="86" spans="2:13">
      <c r="B86" s="69" t="s">
        <v>204</v>
      </c>
      <c r="C86" s="458" t="s">
        <v>0</v>
      </c>
      <c r="D86" s="458"/>
      <c r="E86" s="458"/>
      <c r="F86" s="458"/>
      <c r="G86" s="458"/>
      <c r="H86" s="458"/>
      <c r="I86" s="458"/>
      <c r="J86" s="458"/>
      <c r="K86" s="458"/>
      <c r="L86" s="19">
        <v>0</v>
      </c>
    </row>
    <row r="87" spans="2:13">
      <c r="B87" s="474" t="s">
        <v>207</v>
      </c>
      <c r="C87" s="475"/>
      <c r="D87" s="475"/>
      <c r="E87" s="475"/>
      <c r="F87" s="475"/>
      <c r="G87" s="475"/>
      <c r="H87" s="475"/>
      <c r="I87" s="475"/>
      <c r="J87" s="476"/>
      <c r="K87" s="101"/>
      <c r="L87" s="102" t="e">
        <f>SUM(L82:L86)</f>
        <v>#REF!</v>
      </c>
    </row>
    <row r="88" spans="2:13">
      <c r="B88" s="25"/>
      <c r="C88" s="25"/>
      <c r="D88" s="25"/>
      <c r="E88" s="25"/>
      <c r="F88" s="25"/>
      <c r="G88" s="25"/>
      <c r="H88" s="25"/>
      <c r="I88" s="71"/>
      <c r="J88" s="25"/>
      <c r="K88" s="25"/>
    </row>
    <row r="89" spans="2:13">
      <c r="B89" s="16"/>
      <c r="C89" s="16"/>
      <c r="D89" s="16"/>
      <c r="E89" s="16"/>
      <c r="F89" s="16"/>
      <c r="G89" s="16"/>
      <c r="H89" s="48"/>
      <c r="I89" s="48"/>
      <c r="J89" s="48"/>
      <c r="K89" s="48"/>
      <c r="L89" s="49"/>
    </row>
    <row r="90" spans="2:13">
      <c r="B90" s="454" t="s">
        <v>205</v>
      </c>
      <c r="C90" s="454"/>
      <c r="D90" s="454"/>
      <c r="E90" s="454"/>
      <c r="F90" s="454"/>
      <c r="G90" s="454"/>
      <c r="H90" s="454"/>
      <c r="I90" s="454"/>
      <c r="J90" s="454"/>
      <c r="K90" s="97"/>
      <c r="L90" s="98" t="str">
        <f>L5</f>
        <v>SERVENTE</v>
      </c>
    </row>
    <row r="91" spans="2:13">
      <c r="B91" s="69" t="s">
        <v>4</v>
      </c>
      <c r="C91" s="421" t="s">
        <v>206</v>
      </c>
      <c r="D91" s="421"/>
      <c r="E91" s="421"/>
      <c r="F91" s="421"/>
      <c r="G91" s="421"/>
      <c r="H91" s="421"/>
      <c r="I91" s="421"/>
      <c r="J91" s="421"/>
      <c r="K91" s="65">
        <v>0.05</v>
      </c>
      <c r="L91" s="28" t="e">
        <f>K91*L110</f>
        <v>#REF!</v>
      </c>
      <c r="M91" s="50"/>
    </row>
    <row r="92" spans="2:13">
      <c r="B92" s="69" t="s">
        <v>6</v>
      </c>
      <c r="C92" s="421" t="s">
        <v>32</v>
      </c>
      <c r="D92" s="421"/>
      <c r="E92" s="421"/>
      <c r="F92" s="421"/>
      <c r="G92" s="421"/>
      <c r="H92" s="421"/>
      <c r="I92" s="421"/>
      <c r="J92" s="421"/>
      <c r="K92" s="65">
        <v>6.8099999999999994E-2</v>
      </c>
      <c r="L92" s="28" t="e">
        <f>K92*L110</f>
        <v>#REF!</v>
      </c>
      <c r="M92" s="50"/>
    </row>
    <row r="93" spans="2:13">
      <c r="B93" s="427" t="s">
        <v>10</v>
      </c>
      <c r="C93" s="435" t="s">
        <v>33</v>
      </c>
      <c r="D93" s="436"/>
      <c r="E93" s="436"/>
      <c r="F93" s="436"/>
      <c r="G93" s="436"/>
      <c r="H93" s="436"/>
      <c r="I93" s="437"/>
      <c r="J93" s="438" t="e">
        <f>L110+L91+L92</f>
        <v>#REF!</v>
      </c>
      <c r="K93" s="439"/>
      <c r="L93" s="47"/>
    </row>
    <row r="94" spans="2:13">
      <c r="B94" s="427"/>
      <c r="C94" s="440" t="s">
        <v>34</v>
      </c>
      <c r="D94" s="441"/>
      <c r="E94" s="441"/>
      <c r="F94" s="442"/>
      <c r="G94" s="70"/>
      <c r="H94" s="70" t="s">
        <v>35</v>
      </c>
      <c r="I94" s="70"/>
      <c r="J94" s="443"/>
      <c r="K94" s="444"/>
      <c r="L94" s="47"/>
    </row>
    <row r="95" spans="2:13">
      <c r="B95" s="427"/>
      <c r="C95" s="434" t="s">
        <v>36</v>
      </c>
      <c r="D95" s="434"/>
      <c r="E95" s="434"/>
      <c r="F95" s="434"/>
      <c r="G95" s="68" t="s">
        <v>37</v>
      </c>
      <c r="H95" s="35">
        <v>1.6500000000000001E-2</v>
      </c>
      <c r="I95" s="445">
        <f>SUM(H95:H100)</f>
        <v>0.13250000000000001</v>
      </c>
      <c r="J95" s="432" t="e">
        <f t="shared" ref="J95:J100" si="2">ROUND($L$112*H95,2)</f>
        <v>#REF!</v>
      </c>
      <c r="K95" s="433"/>
      <c r="L95" s="429" t="e">
        <f>SUM(J95:K100)</f>
        <v>#REF!</v>
      </c>
    </row>
    <row r="96" spans="2:13">
      <c r="B96" s="427"/>
      <c r="C96" s="434"/>
      <c r="D96" s="434"/>
      <c r="E96" s="434"/>
      <c r="F96" s="434"/>
      <c r="G96" s="68" t="s">
        <v>38</v>
      </c>
      <c r="H96" s="35">
        <v>7.5999999999999998E-2</v>
      </c>
      <c r="I96" s="445"/>
      <c r="J96" s="432" t="e">
        <f t="shared" si="2"/>
        <v>#REF!</v>
      </c>
      <c r="K96" s="433"/>
      <c r="L96" s="430"/>
    </row>
    <row r="97" spans="2:12">
      <c r="B97" s="427"/>
      <c r="C97" s="434"/>
      <c r="D97" s="434"/>
      <c r="E97" s="434"/>
      <c r="F97" s="434"/>
      <c r="G97" s="68" t="s">
        <v>39</v>
      </c>
      <c r="H97" s="35">
        <v>0</v>
      </c>
      <c r="I97" s="445"/>
      <c r="J97" s="432" t="e">
        <f t="shared" si="2"/>
        <v>#REF!</v>
      </c>
      <c r="K97" s="433"/>
      <c r="L97" s="430"/>
    </row>
    <row r="98" spans="2:12">
      <c r="B98" s="427"/>
      <c r="C98" s="434" t="s">
        <v>40</v>
      </c>
      <c r="D98" s="434"/>
      <c r="E98" s="434"/>
      <c r="F98" s="434"/>
      <c r="G98" s="67" t="s">
        <v>41</v>
      </c>
      <c r="H98" s="35">
        <v>0.04</v>
      </c>
      <c r="I98" s="445"/>
      <c r="J98" s="432" t="e">
        <f t="shared" si="2"/>
        <v>#REF!</v>
      </c>
      <c r="K98" s="433"/>
      <c r="L98" s="430"/>
    </row>
    <row r="99" spans="2:12">
      <c r="B99" s="427"/>
      <c r="C99" s="434"/>
      <c r="D99" s="434"/>
      <c r="E99" s="434"/>
      <c r="F99" s="434"/>
      <c r="G99" s="67" t="s">
        <v>39</v>
      </c>
      <c r="H99" s="35">
        <v>0</v>
      </c>
      <c r="I99" s="445"/>
      <c r="J99" s="432" t="e">
        <f t="shared" si="2"/>
        <v>#REF!</v>
      </c>
      <c r="K99" s="433"/>
      <c r="L99" s="430"/>
    </row>
    <row r="100" spans="2:12">
      <c r="B100" s="427"/>
      <c r="C100" s="434" t="s">
        <v>42</v>
      </c>
      <c r="D100" s="434"/>
      <c r="E100" s="434"/>
      <c r="F100" s="434"/>
      <c r="G100" s="67"/>
      <c r="H100" s="35">
        <v>0</v>
      </c>
      <c r="I100" s="445"/>
      <c r="J100" s="432" t="e">
        <f t="shared" si="2"/>
        <v>#REF!</v>
      </c>
      <c r="K100" s="433"/>
      <c r="L100" s="431"/>
    </row>
    <row r="101" spans="2:12">
      <c r="B101" s="427" t="s">
        <v>43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60" t="e">
        <f>L95+L92+L91</f>
        <v>#REF!</v>
      </c>
    </row>
    <row r="102" spans="2:12">
      <c r="B102" s="51"/>
      <c r="C102" s="51"/>
      <c r="D102" s="51"/>
      <c r="E102" s="51"/>
      <c r="F102" s="51"/>
      <c r="G102" s="51"/>
      <c r="H102" s="51"/>
      <c r="I102" s="52"/>
      <c r="J102" s="53"/>
      <c r="K102" s="51"/>
    </row>
    <row r="103" spans="2:12">
      <c r="B103" s="428" t="s">
        <v>44</v>
      </c>
      <c r="C103" s="428"/>
      <c r="D103" s="428"/>
      <c r="E103" s="428"/>
      <c r="F103" s="428"/>
      <c r="G103" s="428"/>
      <c r="H103" s="428"/>
      <c r="I103" s="428"/>
      <c r="J103" s="428"/>
      <c r="K103" s="428"/>
      <c r="L103" s="428"/>
    </row>
    <row r="104" spans="2:12">
      <c r="B104" s="422" t="s">
        <v>45</v>
      </c>
      <c r="C104" s="422"/>
      <c r="D104" s="422"/>
      <c r="E104" s="422"/>
      <c r="F104" s="422"/>
      <c r="G104" s="422"/>
      <c r="H104" s="422"/>
      <c r="I104" s="422"/>
      <c r="J104" s="422"/>
      <c r="K104" s="422"/>
      <c r="L104" s="7" t="str">
        <f>L5</f>
        <v>SERVENTE</v>
      </c>
    </row>
    <row r="105" spans="2:12">
      <c r="B105" s="69" t="s">
        <v>4</v>
      </c>
      <c r="C105" s="421" t="str">
        <f>B6</f>
        <v xml:space="preserve">MÓDULO 01 – Composição da Remuneração </v>
      </c>
      <c r="D105" s="421"/>
      <c r="E105" s="421"/>
      <c r="F105" s="421"/>
      <c r="G105" s="421"/>
      <c r="H105" s="421"/>
      <c r="I105" s="421"/>
      <c r="J105" s="421"/>
      <c r="K105" s="421"/>
      <c r="L105" s="54" t="e">
        <f>L17</f>
        <v>#REF!</v>
      </c>
    </row>
    <row r="106" spans="2:12">
      <c r="B106" s="69" t="s">
        <v>6</v>
      </c>
      <c r="C106" s="421" t="str">
        <f>B19</f>
        <v>MÓDULO 2 – ENCARGOS E BENEFÍCIOS ANUAIS, MENSAIS E DIÁRIOS</v>
      </c>
      <c r="D106" s="421"/>
      <c r="E106" s="421"/>
      <c r="F106" s="421"/>
      <c r="G106" s="421"/>
      <c r="H106" s="421"/>
      <c r="I106" s="421"/>
      <c r="J106" s="421"/>
      <c r="K106" s="421"/>
      <c r="L106" s="54" t="e">
        <f>L51</f>
        <v>#REF!</v>
      </c>
    </row>
    <row r="107" spans="2:12">
      <c r="B107" s="69" t="s">
        <v>10</v>
      </c>
      <c r="C107" s="421" t="str">
        <f>B53</f>
        <v>MÓDULO 3 – PROVISÃO PARA RESCISÃO</v>
      </c>
      <c r="D107" s="421"/>
      <c r="E107" s="421"/>
      <c r="F107" s="421"/>
      <c r="G107" s="421"/>
      <c r="H107" s="421"/>
      <c r="I107" s="421"/>
      <c r="J107" s="421"/>
      <c r="K107" s="421"/>
      <c r="L107" s="54" t="e">
        <f>L60</f>
        <v>#REF!</v>
      </c>
    </row>
    <row r="108" spans="2:12">
      <c r="B108" s="69" t="s">
        <v>12</v>
      </c>
      <c r="C108" s="421" t="str">
        <f>B62</f>
        <v>MÓDULO 4 – CUSTO DE REPOSIÇÃO DO PROFISSIONAL AUSENTE</v>
      </c>
      <c r="D108" s="421"/>
      <c r="E108" s="421"/>
      <c r="F108" s="421"/>
      <c r="G108" s="421"/>
      <c r="H108" s="421"/>
      <c r="I108" s="421"/>
      <c r="J108" s="421"/>
      <c r="K108" s="421"/>
      <c r="L108" s="54" t="e">
        <f>L79</f>
        <v>#REF!</v>
      </c>
    </row>
    <row r="109" spans="2:12">
      <c r="B109" s="90" t="s">
        <v>14</v>
      </c>
      <c r="C109" s="421" t="str">
        <f>B81</f>
        <v>MÓDULO 5 – INSUMOS DIVERSOS</v>
      </c>
      <c r="D109" s="421"/>
      <c r="E109" s="421"/>
      <c r="F109" s="421"/>
      <c r="G109" s="421"/>
      <c r="H109" s="421"/>
      <c r="I109" s="421"/>
      <c r="J109" s="421"/>
      <c r="K109" s="421"/>
      <c r="L109" s="54" t="e">
        <f>L87</f>
        <v>#REF!</v>
      </c>
    </row>
    <row r="110" spans="2:12">
      <c r="B110" s="422" t="s">
        <v>209</v>
      </c>
      <c r="C110" s="422"/>
      <c r="D110" s="422"/>
      <c r="E110" s="422"/>
      <c r="F110" s="422"/>
      <c r="G110" s="422"/>
      <c r="H110" s="422"/>
      <c r="I110" s="422"/>
      <c r="J110" s="422"/>
      <c r="K110" s="422"/>
      <c r="L110" s="61" t="e">
        <f>SUM(L105:L109)</f>
        <v>#REF!</v>
      </c>
    </row>
    <row r="111" spans="2:12">
      <c r="B111" s="69" t="s">
        <v>14</v>
      </c>
      <c r="C111" s="421" t="s">
        <v>46</v>
      </c>
      <c r="D111" s="421"/>
      <c r="E111" s="421"/>
      <c r="F111" s="421"/>
      <c r="G111" s="421"/>
      <c r="H111" s="421"/>
      <c r="I111" s="421"/>
      <c r="J111" s="421"/>
      <c r="K111" s="421"/>
      <c r="L111" s="55" t="e">
        <f>L112-L110</f>
        <v>#REF!</v>
      </c>
    </row>
    <row r="112" spans="2:12">
      <c r="B112" s="423" t="s">
        <v>47</v>
      </c>
      <c r="C112" s="423"/>
      <c r="D112" s="423"/>
      <c r="E112" s="423"/>
      <c r="F112" s="423"/>
      <c r="G112" s="423"/>
      <c r="H112" s="423"/>
      <c r="I112" s="423"/>
      <c r="J112" s="423"/>
      <c r="K112" s="423"/>
      <c r="L112" s="62" t="e">
        <f>ROUND(J93/(1-$I$95),2)</f>
        <v>#REF!</v>
      </c>
    </row>
    <row r="113" spans="6:12">
      <c r="K113" s="50"/>
    </row>
    <row r="115" spans="6:12">
      <c r="F115" s="424" t="s">
        <v>48</v>
      </c>
      <c r="G115" s="425"/>
      <c r="H115" s="425"/>
      <c r="I115" s="426"/>
      <c r="J115" s="1"/>
      <c r="L115" s="1"/>
    </row>
    <row r="116" spans="6:12">
      <c r="F116" s="424" t="s">
        <v>49</v>
      </c>
      <c r="G116" s="425"/>
      <c r="H116" s="426"/>
      <c r="I116" s="56" t="s">
        <v>9</v>
      </c>
      <c r="J116" s="1"/>
      <c r="L116" s="1"/>
    </row>
    <row r="117" spans="6:12">
      <c r="F117" s="57" t="s">
        <v>50</v>
      </c>
      <c r="G117" s="57"/>
      <c r="H117" s="58"/>
      <c r="I117" s="58">
        <f>K91</f>
        <v>0.05</v>
      </c>
      <c r="J117" s="1"/>
      <c r="L117" s="1"/>
    </row>
    <row r="118" spans="6:12">
      <c r="F118" s="415" t="s">
        <v>32</v>
      </c>
      <c r="G118" s="416"/>
      <c r="H118" s="417"/>
      <c r="I118" s="58">
        <f>K92</f>
        <v>6.8099999999999994E-2</v>
      </c>
      <c r="J118" s="1"/>
      <c r="L118" s="1"/>
    </row>
    <row r="119" spans="6:12">
      <c r="F119" s="57" t="s">
        <v>51</v>
      </c>
      <c r="G119" s="57"/>
      <c r="H119" s="58"/>
      <c r="I119" s="58">
        <f>I95</f>
        <v>0.13250000000000001</v>
      </c>
      <c r="J119" s="1"/>
      <c r="L119" s="1"/>
    </row>
    <row r="120" spans="6:12">
      <c r="F120" s="418" t="s">
        <v>52</v>
      </c>
      <c r="G120" s="419"/>
      <c r="H120" s="420"/>
      <c r="I120" s="58">
        <f>(1+I117)*(1+I118)/(1-I119)-1</f>
        <v>0.29280115273775253</v>
      </c>
      <c r="J120" s="1"/>
      <c r="L120" s="1"/>
    </row>
  </sheetData>
  <mergeCells count="126">
    <mergeCell ref="I59:J59"/>
    <mergeCell ref="G67:H67"/>
    <mergeCell ref="C67:E67"/>
    <mergeCell ref="C68:E68"/>
    <mergeCell ref="B70:J70"/>
    <mergeCell ref="B63:J63"/>
    <mergeCell ref="B87:J87"/>
    <mergeCell ref="B62:J62"/>
    <mergeCell ref="C64:J64"/>
    <mergeCell ref="G68:H68"/>
    <mergeCell ref="C69:J69"/>
    <mergeCell ref="B72:J72"/>
    <mergeCell ref="C73:J73"/>
    <mergeCell ref="G65:I65"/>
    <mergeCell ref="C66:F66"/>
    <mergeCell ref="G66:H66"/>
    <mergeCell ref="C78:J78"/>
    <mergeCell ref="B74:J74"/>
    <mergeCell ref="B76:K76"/>
    <mergeCell ref="C77:J77"/>
    <mergeCell ref="B79:J79"/>
    <mergeCell ref="B80:L80"/>
    <mergeCell ref="B81:J81"/>
    <mergeCell ref="C91:J91"/>
    <mergeCell ref="L95:L100"/>
    <mergeCell ref="J96:K96"/>
    <mergeCell ref="J97:K97"/>
    <mergeCell ref="C98:F99"/>
    <mergeCell ref="J98:K98"/>
    <mergeCell ref="J99:K99"/>
    <mergeCell ref="C94:F94"/>
    <mergeCell ref="J94:K94"/>
    <mergeCell ref="C95:F97"/>
    <mergeCell ref="B90:J90"/>
    <mergeCell ref="C100:F100"/>
    <mergeCell ref="J100:K100"/>
    <mergeCell ref="C92:J92"/>
    <mergeCell ref="B93:B100"/>
    <mergeCell ref="C93:I93"/>
    <mergeCell ref="J93:K93"/>
    <mergeCell ref="F118:H118"/>
    <mergeCell ref="F120:H120"/>
    <mergeCell ref="C108:K108"/>
    <mergeCell ref="B110:K110"/>
    <mergeCell ref="C111:K111"/>
    <mergeCell ref="B112:K112"/>
    <mergeCell ref="F115:I115"/>
    <mergeCell ref="F116:H116"/>
    <mergeCell ref="B101:K101"/>
    <mergeCell ref="B103:L103"/>
    <mergeCell ref="B104:K104"/>
    <mergeCell ref="C105:K105"/>
    <mergeCell ref="C106:K106"/>
    <mergeCell ref="C107:K107"/>
    <mergeCell ref="C109:K109"/>
    <mergeCell ref="I95:I100"/>
    <mergeCell ref="J95:K95"/>
    <mergeCell ref="C28:J28"/>
    <mergeCell ref="C29:J29"/>
    <mergeCell ref="C30:J30"/>
    <mergeCell ref="C32:F32"/>
    <mergeCell ref="C33:J33"/>
    <mergeCell ref="C31:D31"/>
    <mergeCell ref="E31:F31"/>
    <mergeCell ref="G31:J31"/>
    <mergeCell ref="B34:J34"/>
    <mergeCell ref="B36:J36"/>
    <mergeCell ref="C37:J37"/>
    <mergeCell ref="C38:J38"/>
    <mergeCell ref="C39:J39"/>
    <mergeCell ref="C40:J40"/>
    <mergeCell ref="C41:J41"/>
    <mergeCell ref="C42:J42"/>
    <mergeCell ref="C43:J43"/>
    <mergeCell ref="I57:J57"/>
    <mergeCell ref="I55:J55"/>
    <mergeCell ref="C56:H56"/>
    <mergeCell ref="I56:J56"/>
    <mergeCell ref="C58:H58"/>
    <mergeCell ref="I58:J58"/>
    <mergeCell ref="C59:H59"/>
    <mergeCell ref="C86:K86"/>
    <mergeCell ref="B19:K19"/>
    <mergeCell ref="B20:J20"/>
    <mergeCell ref="B23:J23"/>
    <mergeCell ref="C21:J21"/>
    <mergeCell ref="C22:J22"/>
    <mergeCell ref="B45:J45"/>
    <mergeCell ref="C26:J26"/>
    <mergeCell ref="C27:J27"/>
    <mergeCell ref="C44:K44"/>
    <mergeCell ref="C82:K82"/>
    <mergeCell ref="C83:D83"/>
    <mergeCell ref="E83:I83"/>
    <mergeCell ref="J83:K83"/>
    <mergeCell ref="B47:K47"/>
    <mergeCell ref="C48:J48"/>
    <mergeCell ref="C49:J49"/>
    <mergeCell ref="C50:J50"/>
    <mergeCell ref="B51:J51"/>
    <mergeCell ref="B60:J60"/>
    <mergeCell ref="C55:H55"/>
    <mergeCell ref="C12:I12"/>
    <mergeCell ref="C13:I13"/>
    <mergeCell ref="B25:J25"/>
    <mergeCell ref="C84:D84"/>
    <mergeCell ref="E84:I84"/>
    <mergeCell ref="J84:K84"/>
    <mergeCell ref="B2:L2"/>
    <mergeCell ref="B3:L4"/>
    <mergeCell ref="B6:L6"/>
    <mergeCell ref="C7:K7"/>
    <mergeCell ref="C9:E9"/>
    <mergeCell ref="F9:I9"/>
    <mergeCell ref="C8:K8"/>
    <mergeCell ref="C10:I10"/>
    <mergeCell ref="C11:I11"/>
    <mergeCell ref="C14:I14"/>
    <mergeCell ref="C15:K15"/>
    <mergeCell ref="C16:K16"/>
    <mergeCell ref="B17:K17"/>
    <mergeCell ref="C57:H57"/>
    <mergeCell ref="B53:J53"/>
    <mergeCell ref="C54:H54"/>
    <mergeCell ref="B52:L52"/>
    <mergeCell ref="C65:F65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120"/>
  <sheetViews>
    <sheetView workbookViewId="0">
      <selection activeCell="G85" sqref="G85"/>
    </sheetView>
  </sheetViews>
  <sheetFormatPr defaultColWidth="11.85546875" defaultRowHeight="15"/>
  <cols>
    <col min="1" max="1" width="6.28515625" style="1" customWidth="1"/>
    <col min="2" max="2" width="4.5703125" style="1" customWidth="1"/>
    <col min="3" max="3" width="9" style="1" customWidth="1"/>
    <col min="4" max="4" width="25" style="1" customWidth="1"/>
    <col min="5" max="5" width="4.7109375" style="1" bestFit="1" customWidth="1"/>
    <col min="6" max="6" width="9" style="1" bestFit="1" customWidth="1"/>
    <col min="7" max="7" width="10.42578125" style="1" customWidth="1"/>
    <col min="8" max="8" width="10.7109375" style="1" customWidth="1"/>
    <col min="9" max="9" width="16.7109375" style="32" customWidth="1"/>
    <col min="10" max="10" width="9" style="33" bestFit="1" customWidth="1"/>
    <col min="11" max="11" width="9.140625" style="1" bestFit="1" customWidth="1"/>
    <col min="12" max="12" width="12.7109375" style="18" bestFit="1" customWidth="1"/>
    <col min="13" max="13" width="13.28515625" style="1" bestFit="1" customWidth="1"/>
    <col min="14" max="16384" width="11.85546875" style="1"/>
  </cols>
  <sheetData>
    <row r="2" spans="2:13">
      <c r="B2" s="463" t="s">
        <v>2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</row>
    <row r="3" spans="2:13" s="2" customFormat="1">
      <c r="B3" s="464" t="e">
        <f>#REF!</f>
        <v>#REF!</v>
      </c>
      <c r="C3" s="465"/>
      <c r="D3" s="465"/>
      <c r="E3" s="465"/>
      <c r="F3" s="465"/>
      <c r="G3" s="465"/>
      <c r="H3" s="465"/>
      <c r="I3" s="465"/>
      <c r="J3" s="465"/>
      <c r="K3" s="465"/>
      <c r="L3" s="466"/>
    </row>
    <row r="4" spans="2:13" s="2" customFormat="1">
      <c r="B4" s="467"/>
      <c r="C4" s="468"/>
      <c r="D4" s="468"/>
      <c r="E4" s="468"/>
      <c r="F4" s="468"/>
      <c r="G4" s="468"/>
      <c r="H4" s="468"/>
      <c r="I4" s="468"/>
      <c r="J4" s="468"/>
      <c r="K4" s="468"/>
      <c r="L4" s="469"/>
    </row>
    <row r="5" spans="2:13">
      <c r="B5" s="3"/>
      <c r="C5" s="4"/>
      <c r="D5" s="4"/>
      <c r="E5" s="4"/>
      <c r="F5" s="4"/>
      <c r="G5" s="4"/>
      <c r="H5" s="4"/>
      <c r="I5" s="5"/>
      <c r="J5" s="4"/>
      <c r="K5" s="6"/>
      <c r="L5" s="7" t="s">
        <v>53</v>
      </c>
    </row>
    <row r="6" spans="2:13">
      <c r="B6" s="454" t="s">
        <v>3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</row>
    <row r="7" spans="2:13">
      <c r="B7" s="69" t="s">
        <v>4</v>
      </c>
      <c r="C7" s="421" t="s">
        <v>5</v>
      </c>
      <c r="D7" s="421"/>
      <c r="E7" s="421"/>
      <c r="F7" s="421"/>
      <c r="G7" s="421"/>
      <c r="H7" s="421"/>
      <c r="I7" s="421"/>
      <c r="J7" s="421"/>
      <c r="K7" s="421"/>
      <c r="L7" s="9" t="e">
        <f>#REF!</f>
        <v>#REF!</v>
      </c>
    </row>
    <row r="8" spans="2:13">
      <c r="B8" s="79" t="s">
        <v>154</v>
      </c>
      <c r="C8" s="421" t="s">
        <v>155</v>
      </c>
      <c r="D8" s="421"/>
      <c r="E8" s="421"/>
      <c r="F8" s="421"/>
      <c r="G8" s="421"/>
      <c r="H8" s="421"/>
      <c r="I8" s="421"/>
      <c r="J8" s="421"/>
      <c r="K8" s="421"/>
      <c r="L8" s="9"/>
    </row>
    <row r="9" spans="2:13">
      <c r="B9" s="69" t="s">
        <v>6</v>
      </c>
      <c r="C9" s="421" t="s">
        <v>7</v>
      </c>
      <c r="D9" s="421"/>
      <c r="E9" s="421"/>
      <c r="F9" s="455" t="s">
        <v>8</v>
      </c>
      <c r="G9" s="455"/>
      <c r="H9" s="455"/>
      <c r="I9" s="455"/>
      <c r="J9" s="10" t="s">
        <v>9</v>
      </c>
      <c r="K9" s="11">
        <v>0</v>
      </c>
      <c r="L9" s="12">
        <v>0</v>
      </c>
      <c r="M9" s="13"/>
    </row>
    <row r="10" spans="2:13">
      <c r="B10" s="90" t="s">
        <v>10</v>
      </c>
      <c r="C10" s="448" t="s">
        <v>160</v>
      </c>
      <c r="D10" s="449"/>
      <c r="E10" s="449"/>
      <c r="F10" s="449"/>
      <c r="G10" s="449"/>
      <c r="H10" s="449"/>
      <c r="I10" s="450"/>
      <c r="J10" s="10" t="s">
        <v>9</v>
      </c>
      <c r="K10" s="11">
        <v>0</v>
      </c>
      <c r="L10" s="12">
        <v>0</v>
      </c>
      <c r="M10" s="13"/>
    </row>
    <row r="11" spans="2:13">
      <c r="B11" s="90" t="s">
        <v>12</v>
      </c>
      <c r="C11" s="448" t="s">
        <v>157</v>
      </c>
      <c r="D11" s="449"/>
      <c r="E11" s="449"/>
      <c r="F11" s="449"/>
      <c r="G11" s="449"/>
      <c r="H11" s="449"/>
      <c r="I11" s="450"/>
      <c r="J11" s="10" t="s">
        <v>9</v>
      </c>
      <c r="K11" s="11">
        <v>0</v>
      </c>
      <c r="L11" s="12">
        <v>0</v>
      </c>
      <c r="M11" s="13"/>
    </row>
    <row r="12" spans="2:13">
      <c r="B12" s="90" t="s">
        <v>14</v>
      </c>
      <c r="C12" s="448" t="s">
        <v>158</v>
      </c>
      <c r="D12" s="449"/>
      <c r="E12" s="449"/>
      <c r="F12" s="449"/>
      <c r="G12" s="449"/>
      <c r="H12" s="449"/>
      <c r="I12" s="450"/>
      <c r="J12" s="10" t="s">
        <v>9</v>
      </c>
      <c r="K12" s="11">
        <v>0</v>
      </c>
      <c r="L12" s="12">
        <v>0</v>
      </c>
      <c r="M12" s="13"/>
    </row>
    <row r="13" spans="2:13">
      <c r="B13" s="90" t="s">
        <v>1</v>
      </c>
      <c r="C13" s="448" t="s">
        <v>159</v>
      </c>
      <c r="D13" s="449"/>
      <c r="E13" s="449"/>
      <c r="F13" s="449"/>
      <c r="G13" s="449"/>
      <c r="H13" s="449"/>
      <c r="I13" s="450"/>
      <c r="J13" s="10" t="s">
        <v>9</v>
      </c>
      <c r="K13" s="11">
        <v>0</v>
      </c>
      <c r="L13" s="12">
        <v>0</v>
      </c>
      <c r="M13" s="13"/>
    </row>
    <row r="14" spans="2:13">
      <c r="B14" s="90" t="s">
        <v>15</v>
      </c>
      <c r="C14" s="477" t="s">
        <v>11</v>
      </c>
      <c r="D14" s="477"/>
      <c r="E14" s="477"/>
      <c r="F14" s="477"/>
      <c r="G14" s="477"/>
      <c r="H14" s="477"/>
      <c r="I14" s="477"/>
      <c r="J14" s="10" t="s">
        <v>9</v>
      </c>
      <c r="K14" s="14">
        <v>0</v>
      </c>
      <c r="L14" s="12">
        <v>0</v>
      </c>
      <c r="M14" s="13"/>
    </row>
    <row r="15" spans="2:13">
      <c r="B15" s="90" t="s">
        <v>16</v>
      </c>
      <c r="C15" s="478" t="s">
        <v>13</v>
      </c>
      <c r="D15" s="478"/>
      <c r="E15" s="478"/>
      <c r="F15" s="478"/>
      <c r="G15" s="478"/>
      <c r="H15" s="478"/>
      <c r="I15" s="478"/>
      <c r="J15" s="478"/>
      <c r="K15" s="478"/>
      <c r="L15" s="12">
        <v>0</v>
      </c>
      <c r="M15" s="13"/>
    </row>
    <row r="16" spans="2:13">
      <c r="B16" s="90" t="s">
        <v>156</v>
      </c>
      <c r="C16" s="458" t="s">
        <v>0</v>
      </c>
      <c r="D16" s="458"/>
      <c r="E16" s="458"/>
      <c r="F16" s="458"/>
      <c r="G16" s="458"/>
      <c r="H16" s="458"/>
      <c r="I16" s="458"/>
      <c r="J16" s="458"/>
      <c r="K16" s="458"/>
      <c r="L16" s="12"/>
      <c r="M16" s="13"/>
    </row>
    <row r="17" spans="2:13">
      <c r="B17" s="479" t="s">
        <v>208</v>
      </c>
      <c r="C17" s="479"/>
      <c r="D17" s="479"/>
      <c r="E17" s="479"/>
      <c r="F17" s="479"/>
      <c r="G17" s="479"/>
      <c r="H17" s="479"/>
      <c r="I17" s="479"/>
      <c r="J17" s="479"/>
      <c r="K17" s="479"/>
      <c r="L17" s="100" t="e">
        <f>SUM(L7:L16)</f>
        <v>#REF!</v>
      </c>
      <c r="M17" s="15"/>
    </row>
    <row r="18" spans="2:13">
      <c r="B18" s="16"/>
      <c r="C18" s="16"/>
      <c r="D18" s="16"/>
      <c r="E18" s="16"/>
      <c r="F18" s="16"/>
      <c r="G18" s="16"/>
      <c r="H18" s="16"/>
      <c r="I18" s="17"/>
      <c r="J18" s="16"/>
      <c r="K18" s="16"/>
    </row>
    <row r="19" spans="2:13">
      <c r="B19" s="454" t="s">
        <v>161</v>
      </c>
      <c r="C19" s="454"/>
      <c r="D19" s="454"/>
      <c r="E19" s="454"/>
      <c r="F19" s="454"/>
      <c r="G19" s="454"/>
      <c r="H19" s="454"/>
      <c r="I19" s="454"/>
      <c r="J19" s="454"/>
      <c r="K19" s="454"/>
      <c r="L19" s="7" t="str">
        <f>L5</f>
        <v>SERVENTE</v>
      </c>
    </row>
    <row r="20" spans="2:13">
      <c r="B20" s="446" t="s">
        <v>162</v>
      </c>
      <c r="C20" s="447"/>
      <c r="D20" s="447"/>
      <c r="E20" s="447"/>
      <c r="F20" s="447"/>
      <c r="G20" s="447"/>
      <c r="H20" s="447"/>
      <c r="I20" s="447"/>
      <c r="J20" s="447"/>
      <c r="K20" s="92" t="s">
        <v>9</v>
      </c>
      <c r="L20" s="12" t="s">
        <v>166</v>
      </c>
    </row>
    <row r="21" spans="2:13">
      <c r="B21" s="90" t="s">
        <v>4</v>
      </c>
      <c r="C21" s="448" t="s">
        <v>163</v>
      </c>
      <c r="D21" s="449"/>
      <c r="E21" s="449"/>
      <c r="F21" s="449"/>
      <c r="G21" s="449"/>
      <c r="H21" s="449"/>
      <c r="I21" s="449"/>
      <c r="J21" s="450"/>
      <c r="K21" s="34">
        <v>8.3299999999999999E-2</v>
      </c>
      <c r="L21" s="12" t="e">
        <f>K21*L17</f>
        <v>#REF!</v>
      </c>
    </row>
    <row r="22" spans="2:13">
      <c r="B22" s="90" t="s">
        <v>6</v>
      </c>
      <c r="C22" s="448" t="s">
        <v>164</v>
      </c>
      <c r="D22" s="449"/>
      <c r="E22" s="449"/>
      <c r="F22" s="449"/>
      <c r="G22" s="449"/>
      <c r="H22" s="449"/>
      <c r="I22" s="449"/>
      <c r="J22" s="450"/>
      <c r="K22" s="34">
        <v>2.7799999999999998E-2</v>
      </c>
      <c r="L22" s="12" t="e">
        <f>K22*L17</f>
        <v>#REF!</v>
      </c>
    </row>
    <row r="23" spans="2:13">
      <c r="B23" s="451" t="s">
        <v>165</v>
      </c>
      <c r="C23" s="452"/>
      <c r="D23" s="452"/>
      <c r="E23" s="452"/>
      <c r="F23" s="452"/>
      <c r="G23" s="452"/>
      <c r="H23" s="452"/>
      <c r="I23" s="452"/>
      <c r="J23" s="453"/>
      <c r="K23" s="34">
        <f>SUM(K21:K22)</f>
        <v>0.1111</v>
      </c>
      <c r="L23" s="12" t="e">
        <f>SUM(L21:L22)</f>
        <v>#REF!</v>
      </c>
    </row>
    <row r="24" spans="2:13">
      <c r="B24" s="93"/>
      <c r="C24" s="94"/>
      <c r="D24" s="94"/>
      <c r="E24" s="94"/>
      <c r="F24" s="94"/>
      <c r="G24" s="94"/>
      <c r="H24" s="94"/>
      <c r="I24" s="94"/>
      <c r="J24" s="95"/>
      <c r="K24" s="34"/>
      <c r="L24" s="12"/>
    </row>
    <row r="25" spans="2:13">
      <c r="B25" s="446" t="s">
        <v>167</v>
      </c>
      <c r="C25" s="447"/>
      <c r="D25" s="447"/>
      <c r="E25" s="447"/>
      <c r="F25" s="447"/>
      <c r="G25" s="447"/>
      <c r="H25" s="447"/>
      <c r="I25" s="447"/>
      <c r="J25" s="447"/>
      <c r="K25" s="92" t="s">
        <v>9</v>
      </c>
      <c r="L25" s="12" t="s">
        <v>166</v>
      </c>
    </row>
    <row r="26" spans="2:13">
      <c r="B26" s="74" t="s">
        <v>4</v>
      </c>
      <c r="C26" s="455" t="s">
        <v>17</v>
      </c>
      <c r="D26" s="455"/>
      <c r="E26" s="455"/>
      <c r="F26" s="455"/>
      <c r="G26" s="455"/>
      <c r="H26" s="455"/>
      <c r="I26" s="455"/>
      <c r="J26" s="455"/>
      <c r="K26" s="27">
        <v>0.2</v>
      </c>
      <c r="L26" s="28" t="e">
        <f>ROUND($K$26*L17,2)</f>
        <v>#REF!</v>
      </c>
    </row>
    <row r="27" spans="2:13">
      <c r="B27" s="74" t="s">
        <v>6</v>
      </c>
      <c r="C27" s="455" t="s">
        <v>18</v>
      </c>
      <c r="D27" s="455"/>
      <c r="E27" s="455"/>
      <c r="F27" s="455"/>
      <c r="G27" s="455"/>
      <c r="H27" s="455"/>
      <c r="I27" s="455"/>
      <c r="J27" s="455"/>
      <c r="K27" s="27">
        <v>1.4999999999999999E-2</v>
      </c>
      <c r="L27" s="28" t="e">
        <f>ROUND($K$27*L17,2)</f>
        <v>#REF!</v>
      </c>
    </row>
    <row r="28" spans="2:13">
      <c r="B28" s="74" t="s">
        <v>10</v>
      </c>
      <c r="C28" s="455" t="s">
        <v>19</v>
      </c>
      <c r="D28" s="455"/>
      <c r="E28" s="455"/>
      <c r="F28" s="455"/>
      <c r="G28" s="455"/>
      <c r="H28" s="455"/>
      <c r="I28" s="455"/>
      <c r="J28" s="455"/>
      <c r="K28" s="27">
        <v>0.01</v>
      </c>
      <c r="L28" s="28" t="e">
        <f>ROUND(K28*$L$17,2)</f>
        <v>#REF!</v>
      </c>
    </row>
    <row r="29" spans="2:13">
      <c r="B29" s="74" t="s">
        <v>12</v>
      </c>
      <c r="C29" s="455" t="s">
        <v>20</v>
      </c>
      <c r="D29" s="455"/>
      <c r="E29" s="455"/>
      <c r="F29" s="455"/>
      <c r="G29" s="455"/>
      <c r="H29" s="455"/>
      <c r="I29" s="455"/>
      <c r="J29" s="455"/>
      <c r="K29" s="27">
        <v>2E-3</v>
      </c>
      <c r="L29" s="28" t="e">
        <f>ROUND(K29*$L$17,2)</f>
        <v>#REF!</v>
      </c>
    </row>
    <row r="30" spans="2:13">
      <c r="B30" s="74" t="s">
        <v>14</v>
      </c>
      <c r="C30" s="455" t="s">
        <v>21</v>
      </c>
      <c r="D30" s="455"/>
      <c r="E30" s="455"/>
      <c r="F30" s="455"/>
      <c r="G30" s="455"/>
      <c r="H30" s="455"/>
      <c r="I30" s="455"/>
      <c r="J30" s="455"/>
      <c r="K30" s="27">
        <v>2.5000000000000001E-2</v>
      </c>
      <c r="L30" s="28" t="e">
        <f>ROUND(K30*$L$17,2)</f>
        <v>#REF!</v>
      </c>
      <c r="M30" s="29"/>
    </row>
    <row r="31" spans="2:13">
      <c r="B31" s="74" t="s">
        <v>1</v>
      </c>
      <c r="C31" s="448" t="s">
        <v>153</v>
      </c>
      <c r="D31" s="450"/>
      <c r="E31" s="459">
        <v>0.08</v>
      </c>
      <c r="F31" s="460"/>
      <c r="G31" s="448" t="s">
        <v>152</v>
      </c>
      <c r="H31" s="449"/>
      <c r="I31" s="449"/>
      <c r="J31" s="450"/>
      <c r="K31" s="27">
        <f>E31*(1+(1/12)+(1/12/3))</f>
        <v>8.8888888888888878E-2</v>
      </c>
      <c r="L31" s="28" t="e">
        <f>ROUND(K31*($L$17+(1/3/12*L17)+(1/12*L17)),2)</f>
        <v>#REF!</v>
      </c>
      <c r="M31" s="1" t="s">
        <v>168</v>
      </c>
    </row>
    <row r="32" spans="2:13">
      <c r="B32" s="74" t="s">
        <v>15</v>
      </c>
      <c r="C32" s="455" t="s">
        <v>22</v>
      </c>
      <c r="D32" s="455"/>
      <c r="E32" s="455"/>
      <c r="F32" s="455"/>
      <c r="G32" s="73" t="s">
        <v>23</v>
      </c>
      <c r="H32" s="30">
        <v>0.03</v>
      </c>
      <c r="I32" s="73" t="s">
        <v>24</v>
      </c>
      <c r="J32" s="63">
        <v>1</v>
      </c>
      <c r="K32" s="31">
        <f>H32*J32</f>
        <v>0.03</v>
      </c>
      <c r="L32" s="28" t="e">
        <f>ROUND(K32*$L$17,2)</f>
        <v>#REF!</v>
      </c>
    </row>
    <row r="33" spans="2:20">
      <c r="B33" s="74" t="s">
        <v>16</v>
      </c>
      <c r="C33" s="455" t="s">
        <v>25</v>
      </c>
      <c r="D33" s="455"/>
      <c r="E33" s="455"/>
      <c r="F33" s="455"/>
      <c r="G33" s="455"/>
      <c r="H33" s="455"/>
      <c r="I33" s="455"/>
      <c r="J33" s="455"/>
      <c r="K33" s="27">
        <v>6.0000000000000001E-3</v>
      </c>
      <c r="L33" s="28" t="e">
        <f>ROUND(K33*$L$17,2)</f>
        <v>#REF!</v>
      </c>
      <c r="M33" s="2"/>
      <c r="N33" s="2"/>
      <c r="O33" s="2"/>
      <c r="P33" s="2"/>
      <c r="Q33" s="2"/>
      <c r="R33" s="2"/>
      <c r="S33" s="2"/>
      <c r="T33" s="2"/>
    </row>
    <row r="34" spans="2:20">
      <c r="B34" s="451" t="s">
        <v>169</v>
      </c>
      <c r="C34" s="452"/>
      <c r="D34" s="452"/>
      <c r="E34" s="452"/>
      <c r="F34" s="452"/>
      <c r="G34" s="452"/>
      <c r="H34" s="452"/>
      <c r="I34" s="452"/>
      <c r="J34" s="453"/>
      <c r="K34" s="34">
        <f>SUM(K26:K33)</f>
        <v>0.37688888888888894</v>
      </c>
      <c r="L34" s="12" t="e">
        <f>SUM(L26:L33)</f>
        <v>#REF!</v>
      </c>
      <c r="M34" s="2"/>
      <c r="N34" s="2"/>
      <c r="O34" s="2"/>
      <c r="P34" s="2"/>
      <c r="Q34" s="2"/>
      <c r="R34" s="2"/>
      <c r="S34" s="2"/>
      <c r="T34" s="2"/>
    </row>
    <row r="35" spans="2:20">
      <c r="B35" s="93"/>
      <c r="C35" s="94"/>
      <c r="D35" s="94"/>
      <c r="E35" s="94"/>
      <c r="F35" s="94"/>
      <c r="G35" s="94"/>
      <c r="H35" s="94"/>
      <c r="I35" s="94"/>
      <c r="J35" s="95"/>
      <c r="K35" s="34"/>
      <c r="L35" s="12"/>
      <c r="M35" s="2"/>
      <c r="N35" s="2"/>
      <c r="O35" s="2"/>
      <c r="P35" s="2"/>
      <c r="Q35" s="2"/>
      <c r="R35" s="2"/>
      <c r="S35" s="2"/>
      <c r="T35" s="2"/>
    </row>
    <row r="36" spans="2:20">
      <c r="B36" s="446" t="s">
        <v>170</v>
      </c>
      <c r="C36" s="447"/>
      <c r="D36" s="447"/>
      <c r="E36" s="447"/>
      <c r="F36" s="447"/>
      <c r="G36" s="447"/>
      <c r="H36" s="447"/>
      <c r="I36" s="447"/>
      <c r="J36" s="447"/>
      <c r="K36" s="92"/>
      <c r="L36" s="12" t="s">
        <v>166</v>
      </c>
    </row>
    <row r="37" spans="2:20">
      <c r="B37" s="69" t="s">
        <v>4</v>
      </c>
      <c r="C37" s="448" t="e">
        <f>#REF!</f>
        <v>#REF!</v>
      </c>
      <c r="D37" s="449"/>
      <c r="E37" s="449"/>
      <c r="F37" s="449"/>
      <c r="G37" s="449"/>
      <c r="H37" s="449"/>
      <c r="I37" s="449"/>
      <c r="J37" s="450"/>
      <c r="K37" s="80"/>
      <c r="L37" s="12" t="e">
        <f>#REF!</f>
        <v>#REF!</v>
      </c>
    </row>
    <row r="38" spans="2:20">
      <c r="B38" s="69" t="s">
        <v>6</v>
      </c>
      <c r="C38" s="448" t="e">
        <f>#REF!</f>
        <v>#REF!</v>
      </c>
      <c r="D38" s="449"/>
      <c r="E38" s="449"/>
      <c r="F38" s="449"/>
      <c r="G38" s="449"/>
      <c r="H38" s="449"/>
      <c r="I38" s="449"/>
      <c r="J38" s="450"/>
      <c r="K38" s="80"/>
      <c r="L38" s="12" t="e">
        <f>#REF!</f>
        <v>#REF!</v>
      </c>
    </row>
    <row r="39" spans="2:20">
      <c r="B39" s="69" t="s">
        <v>10</v>
      </c>
      <c r="C39" s="448" t="e">
        <f>#REF!</f>
        <v>#REF!</v>
      </c>
      <c r="D39" s="449"/>
      <c r="E39" s="449"/>
      <c r="F39" s="449"/>
      <c r="G39" s="449"/>
      <c r="H39" s="449"/>
      <c r="I39" s="449"/>
      <c r="J39" s="450"/>
      <c r="K39" s="80"/>
      <c r="L39" s="12" t="e">
        <f>#REF!</f>
        <v>#REF!</v>
      </c>
    </row>
    <row r="40" spans="2:20">
      <c r="B40" s="79" t="s">
        <v>12</v>
      </c>
      <c r="C40" s="448" t="e">
        <f>#REF!</f>
        <v>#REF!</v>
      </c>
      <c r="D40" s="449"/>
      <c r="E40" s="449"/>
      <c r="F40" s="449"/>
      <c r="G40" s="449"/>
      <c r="H40" s="449"/>
      <c r="I40" s="449"/>
      <c r="J40" s="450"/>
      <c r="K40" s="80"/>
      <c r="L40" s="12" t="e">
        <f>#REF!</f>
        <v>#REF!</v>
      </c>
    </row>
    <row r="41" spans="2:20">
      <c r="B41" s="79" t="s">
        <v>14</v>
      </c>
      <c r="C41" s="448" t="e">
        <f>#REF!</f>
        <v>#REF!</v>
      </c>
      <c r="D41" s="449"/>
      <c r="E41" s="449"/>
      <c r="F41" s="449"/>
      <c r="G41" s="449"/>
      <c r="H41" s="449"/>
      <c r="I41" s="449"/>
      <c r="J41" s="450"/>
      <c r="K41" s="81"/>
      <c r="L41" s="12" t="e">
        <f>#REF!</f>
        <v>#REF!</v>
      </c>
    </row>
    <row r="42" spans="2:20">
      <c r="B42" s="79" t="s">
        <v>1</v>
      </c>
      <c r="C42" s="448" t="e">
        <f>#REF!</f>
        <v>#REF!</v>
      </c>
      <c r="D42" s="449"/>
      <c r="E42" s="449"/>
      <c r="F42" s="449"/>
      <c r="G42" s="449"/>
      <c r="H42" s="449"/>
      <c r="I42" s="449"/>
      <c r="J42" s="450"/>
      <c r="K42" s="82"/>
      <c r="L42" s="12" t="e">
        <f>#REF!</f>
        <v>#REF!</v>
      </c>
    </row>
    <row r="43" spans="2:20">
      <c r="B43" s="79" t="s">
        <v>15</v>
      </c>
      <c r="C43" s="448" t="e">
        <f>#REF!</f>
        <v>#REF!</v>
      </c>
      <c r="D43" s="449"/>
      <c r="E43" s="449"/>
      <c r="F43" s="449"/>
      <c r="G43" s="449"/>
      <c r="H43" s="449"/>
      <c r="I43" s="449"/>
      <c r="J43" s="450"/>
      <c r="K43" s="82"/>
      <c r="L43" s="12" t="e">
        <f>#REF!</f>
        <v>#REF!</v>
      </c>
    </row>
    <row r="44" spans="2:20">
      <c r="B44" s="79" t="s">
        <v>16</v>
      </c>
      <c r="C44" s="458" t="s">
        <v>0</v>
      </c>
      <c r="D44" s="458"/>
      <c r="E44" s="458"/>
      <c r="F44" s="458"/>
      <c r="G44" s="458"/>
      <c r="H44" s="458"/>
      <c r="I44" s="458"/>
      <c r="J44" s="458"/>
      <c r="K44" s="458"/>
      <c r="L44" s="19">
        <v>0</v>
      </c>
    </row>
    <row r="45" spans="2:20">
      <c r="B45" s="451" t="s">
        <v>172</v>
      </c>
      <c r="C45" s="452"/>
      <c r="D45" s="452"/>
      <c r="E45" s="452"/>
      <c r="F45" s="452"/>
      <c r="G45" s="452"/>
      <c r="H45" s="452"/>
      <c r="I45" s="452"/>
      <c r="J45" s="453"/>
      <c r="K45" s="34"/>
      <c r="L45" s="12" t="e">
        <f>SUM(L37:L44)</f>
        <v>#REF!</v>
      </c>
    </row>
    <row r="46" spans="2:20">
      <c r="B46" s="93"/>
      <c r="C46" s="94"/>
      <c r="D46" s="94"/>
      <c r="E46" s="94"/>
      <c r="F46" s="94"/>
      <c r="G46" s="94"/>
      <c r="H46" s="94"/>
      <c r="I46" s="94"/>
      <c r="J46" s="95"/>
      <c r="K46" s="34"/>
      <c r="L46" s="12"/>
    </row>
    <row r="47" spans="2:20">
      <c r="B47" s="473" t="s">
        <v>173</v>
      </c>
      <c r="C47" s="473"/>
      <c r="D47" s="473"/>
      <c r="E47" s="473"/>
      <c r="F47" s="473"/>
      <c r="G47" s="473"/>
      <c r="H47" s="473"/>
      <c r="I47" s="473"/>
      <c r="J47" s="473"/>
      <c r="K47" s="473"/>
      <c r="L47" s="7" t="str">
        <f>L5</f>
        <v>SERVENTE</v>
      </c>
    </row>
    <row r="48" spans="2:20">
      <c r="B48" s="90" t="s">
        <v>174</v>
      </c>
      <c r="C48" s="448" t="s">
        <v>177</v>
      </c>
      <c r="D48" s="449"/>
      <c r="E48" s="449"/>
      <c r="F48" s="449"/>
      <c r="G48" s="449"/>
      <c r="H48" s="449"/>
      <c r="I48" s="449"/>
      <c r="J48" s="450"/>
      <c r="K48" s="80"/>
      <c r="L48" s="12" t="e">
        <f>L23</f>
        <v>#REF!</v>
      </c>
    </row>
    <row r="49" spans="2:12">
      <c r="B49" s="90" t="s">
        <v>175</v>
      </c>
      <c r="C49" s="448" t="s">
        <v>178</v>
      </c>
      <c r="D49" s="449"/>
      <c r="E49" s="449"/>
      <c r="F49" s="449"/>
      <c r="G49" s="449"/>
      <c r="H49" s="449"/>
      <c r="I49" s="449"/>
      <c r="J49" s="450"/>
      <c r="K49" s="80"/>
      <c r="L49" s="12" t="e">
        <f>L34</f>
        <v>#REF!</v>
      </c>
    </row>
    <row r="50" spans="2:12">
      <c r="B50" s="90" t="s">
        <v>176</v>
      </c>
      <c r="C50" s="448" t="s">
        <v>180</v>
      </c>
      <c r="D50" s="449"/>
      <c r="E50" s="449"/>
      <c r="F50" s="449"/>
      <c r="G50" s="449"/>
      <c r="H50" s="449"/>
      <c r="I50" s="449"/>
      <c r="J50" s="450"/>
      <c r="K50" s="80"/>
      <c r="L50" s="12" t="e">
        <f>L45</f>
        <v>#REF!</v>
      </c>
    </row>
    <row r="51" spans="2:12">
      <c r="B51" s="474" t="s">
        <v>179</v>
      </c>
      <c r="C51" s="475"/>
      <c r="D51" s="475"/>
      <c r="E51" s="475"/>
      <c r="F51" s="475"/>
      <c r="G51" s="475"/>
      <c r="H51" s="475"/>
      <c r="I51" s="475"/>
      <c r="J51" s="476"/>
      <c r="K51" s="101"/>
      <c r="L51" s="102" t="e">
        <f>SUM(L48:L50)</f>
        <v>#REF!</v>
      </c>
    </row>
    <row r="52" spans="2:12">
      <c r="B52" s="461"/>
      <c r="C52" s="462"/>
      <c r="D52" s="462"/>
      <c r="E52" s="462"/>
      <c r="F52" s="462"/>
      <c r="G52" s="462"/>
      <c r="H52" s="462"/>
      <c r="I52" s="462"/>
      <c r="J52" s="462"/>
      <c r="K52" s="462"/>
      <c r="L52" s="462"/>
    </row>
    <row r="53" spans="2:12">
      <c r="B53" s="454" t="s">
        <v>171</v>
      </c>
      <c r="C53" s="454"/>
      <c r="D53" s="454"/>
      <c r="E53" s="454"/>
      <c r="F53" s="454"/>
      <c r="G53" s="454"/>
      <c r="H53" s="454"/>
      <c r="I53" s="454"/>
      <c r="J53" s="454"/>
      <c r="K53" s="97" t="s">
        <v>9</v>
      </c>
      <c r="L53" s="98" t="s">
        <v>166</v>
      </c>
    </row>
    <row r="54" spans="2:12">
      <c r="B54" s="69" t="s">
        <v>4</v>
      </c>
      <c r="C54" s="455" t="s">
        <v>26</v>
      </c>
      <c r="D54" s="455"/>
      <c r="E54" s="455"/>
      <c r="F54" s="455"/>
      <c r="G54" s="455"/>
      <c r="H54" s="455"/>
      <c r="I54" s="38">
        <v>30</v>
      </c>
      <c r="J54" s="39">
        <v>0.05</v>
      </c>
      <c r="K54" s="34">
        <f>I54/30/12*J54</f>
        <v>4.1666666666666666E-3</v>
      </c>
      <c r="L54" s="12" t="e">
        <f t="shared" ref="L54:L59" si="0">ROUND(K54*$L$17,2)</f>
        <v>#REF!</v>
      </c>
    </row>
    <row r="55" spans="2:12">
      <c r="B55" s="69" t="s">
        <v>6</v>
      </c>
      <c r="C55" s="455" t="s">
        <v>27</v>
      </c>
      <c r="D55" s="455"/>
      <c r="E55" s="455"/>
      <c r="F55" s="455"/>
      <c r="G55" s="455"/>
      <c r="H55" s="455"/>
      <c r="I55" s="455"/>
      <c r="J55" s="455"/>
      <c r="K55" s="34">
        <f>K31*K54</f>
        <v>3.703703703703703E-4</v>
      </c>
      <c r="L55" s="12" t="e">
        <f t="shared" si="0"/>
        <v>#REF!</v>
      </c>
    </row>
    <row r="56" spans="2:12">
      <c r="B56" s="90" t="s">
        <v>10</v>
      </c>
      <c r="C56" s="455" t="s">
        <v>182</v>
      </c>
      <c r="D56" s="455"/>
      <c r="E56" s="455"/>
      <c r="F56" s="455"/>
      <c r="G56" s="455"/>
      <c r="H56" s="455"/>
      <c r="I56" s="455"/>
      <c r="J56" s="455"/>
      <c r="K56" s="34">
        <f>0.5*K55</f>
        <v>1.8518518518518515E-4</v>
      </c>
      <c r="L56" s="12" t="e">
        <f t="shared" si="0"/>
        <v>#REF!</v>
      </c>
    </row>
    <row r="57" spans="2:12">
      <c r="B57" s="90" t="s">
        <v>12</v>
      </c>
      <c r="C57" s="455" t="s">
        <v>184</v>
      </c>
      <c r="D57" s="455"/>
      <c r="E57" s="455"/>
      <c r="F57" s="455"/>
      <c r="G57" s="455"/>
      <c r="H57" s="455"/>
      <c r="I57" s="455"/>
      <c r="J57" s="455"/>
      <c r="K57" s="34">
        <v>4.0000000000000002E-4</v>
      </c>
      <c r="L57" s="12" t="e">
        <f t="shared" si="0"/>
        <v>#REF!</v>
      </c>
    </row>
    <row r="58" spans="2:12">
      <c r="B58" s="90" t="s">
        <v>14</v>
      </c>
      <c r="C58" s="455" t="s">
        <v>183</v>
      </c>
      <c r="D58" s="455"/>
      <c r="E58" s="455"/>
      <c r="F58" s="455"/>
      <c r="G58" s="455"/>
      <c r="H58" s="455"/>
      <c r="I58" s="455"/>
      <c r="J58" s="455"/>
      <c r="K58" s="34">
        <f>K34*K57</f>
        <v>1.5075555555555558E-4</v>
      </c>
      <c r="L58" s="12" t="e">
        <f t="shared" si="0"/>
        <v>#REF!</v>
      </c>
    </row>
    <row r="59" spans="2:12">
      <c r="B59" s="90" t="s">
        <v>1</v>
      </c>
      <c r="C59" s="455" t="s">
        <v>185</v>
      </c>
      <c r="D59" s="455"/>
      <c r="E59" s="455"/>
      <c r="F59" s="455"/>
      <c r="G59" s="455"/>
      <c r="H59" s="455"/>
      <c r="I59" s="455"/>
      <c r="J59" s="455"/>
      <c r="K59" s="96">
        <f>0.5*0.08*K57</f>
        <v>1.6000000000000003E-5</v>
      </c>
      <c r="L59" s="12" t="e">
        <f t="shared" si="0"/>
        <v>#REF!</v>
      </c>
    </row>
    <row r="60" spans="2:12" ht="15" customHeight="1">
      <c r="B60" s="474" t="s">
        <v>181</v>
      </c>
      <c r="C60" s="475"/>
      <c r="D60" s="475"/>
      <c r="E60" s="475"/>
      <c r="F60" s="475"/>
      <c r="G60" s="475"/>
      <c r="H60" s="475"/>
      <c r="I60" s="475"/>
      <c r="J60" s="476"/>
      <c r="K60" s="101"/>
      <c r="L60" s="102" t="e">
        <f>SUM(L54:L59)</f>
        <v>#REF!</v>
      </c>
    </row>
    <row r="61" spans="2:12">
      <c r="B61" s="20"/>
      <c r="C61" s="16"/>
      <c r="D61" s="16"/>
      <c r="E61" s="20"/>
      <c r="F61" s="20"/>
      <c r="G61" s="20"/>
      <c r="H61" s="20"/>
      <c r="I61" s="21"/>
      <c r="J61" s="22"/>
      <c r="K61" s="20"/>
    </row>
    <row r="62" spans="2:12">
      <c r="B62" s="454" t="s">
        <v>186</v>
      </c>
      <c r="C62" s="454"/>
      <c r="D62" s="454"/>
      <c r="E62" s="454"/>
      <c r="F62" s="454"/>
      <c r="G62" s="454"/>
      <c r="H62" s="454"/>
      <c r="I62" s="454"/>
      <c r="J62" s="454"/>
      <c r="K62" s="97"/>
      <c r="L62" s="98"/>
    </row>
    <row r="63" spans="2:12">
      <c r="B63" s="446" t="s">
        <v>191</v>
      </c>
      <c r="C63" s="447"/>
      <c r="D63" s="447"/>
      <c r="E63" s="447"/>
      <c r="F63" s="447"/>
      <c r="G63" s="447"/>
      <c r="H63" s="447"/>
      <c r="I63" s="447"/>
      <c r="J63" s="447"/>
      <c r="K63" s="92" t="s">
        <v>9</v>
      </c>
      <c r="L63" s="12" t="s">
        <v>166</v>
      </c>
    </row>
    <row r="64" spans="2:12">
      <c r="B64" s="69" t="s">
        <v>4</v>
      </c>
      <c r="C64" s="421" t="s">
        <v>187</v>
      </c>
      <c r="D64" s="421"/>
      <c r="E64" s="421"/>
      <c r="F64" s="421"/>
      <c r="G64" s="421"/>
      <c r="H64" s="421"/>
      <c r="I64" s="421"/>
      <c r="J64" s="421"/>
      <c r="K64" s="41">
        <f>1/12</f>
        <v>8.3333333333333329E-2</v>
      </c>
      <c r="L64" s="12" t="e">
        <f t="shared" ref="L64:L69" si="1">K64*$L$17</f>
        <v>#REF!</v>
      </c>
    </row>
    <row r="65" spans="2:13">
      <c r="B65" s="69" t="s">
        <v>6</v>
      </c>
      <c r="C65" s="455" t="s">
        <v>188</v>
      </c>
      <c r="D65" s="455"/>
      <c r="E65" s="455"/>
      <c r="F65" s="455"/>
      <c r="G65" s="456" t="s">
        <v>29</v>
      </c>
      <c r="H65" s="456"/>
      <c r="I65" s="456"/>
      <c r="J65" s="42">
        <v>3</v>
      </c>
      <c r="K65" s="41">
        <f>J65/30/12</f>
        <v>8.3333333333333332E-3</v>
      </c>
      <c r="L65" s="12" t="e">
        <f t="shared" si="1"/>
        <v>#REF!</v>
      </c>
      <c r="M65" s="1" t="s">
        <v>168</v>
      </c>
    </row>
    <row r="66" spans="2:13">
      <c r="B66" s="69" t="s">
        <v>10</v>
      </c>
      <c r="C66" s="455" t="s">
        <v>30</v>
      </c>
      <c r="D66" s="455"/>
      <c r="E66" s="455"/>
      <c r="F66" s="455"/>
      <c r="G66" s="456" t="s">
        <v>28</v>
      </c>
      <c r="H66" s="456"/>
      <c r="I66" s="36">
        <v>1.4999999999999999E-2</v>
      </c>
      <c r="J66" s="43">
        <v>5</v>
      </c>
      <c r="K66" s="41">
        <f>J66/30/12*I66</f>
        <v>2.0833333333333332E-4</v>
      </c>
      <c r="L66" s="12" t="e">
        <f t="shared" si="1"/>
        <v>#REF!</v>
      </c>
    </row>
    <row r="67" spans="2:13">
      <c r="B67" s="69" t="s">
        <v>12</v>
      </c>
      <c r="C67" s="456" t="s">
        <v>189</v>
      </c>
      <c r="D67" s="456"/>
      <c r="E67" s="456"/>
      <c r="F67" s="42"/>
      <c r="G67" s="456" t="s">
        <v>28</v>
      </c>
      <c r="H67" s="456"/>
      <c r="I67" s="36">
        <v>7.7999999999999996E-3</v>
      </c>
      <c r="J67" s="44">
        <v>15</v>
      </c>
      <c r="K67" s="41">
        <f>J67/30/12*I67</f>
        <v>3.2499999999999999E-4</v>
      </c>
      <c r="L67" s="12" t="e">
        <f t="shared" si="1"/>
        <v>#REF!</v>
      </c>
    </row>
    <row r="68" spans="2:13">
      <c r="B68" s="69" t="s">
        <v>14</v>
      </c>
      <c r="C68" s="456" t="s">
        <v>190</v>
      </c>
      <c r="D68" s="456"/>
      <c r="E68" s="456"/>
      <c r="F68" s="42"/>
      <c r="G68" s="457"/>
      <c r="H68" s="456"/>
      <c r="I68" s="36"/>
      <c r="J68" s="44"/>
      <c r="K68" s="41">
        <v>6.1000000000000004E-3</v>
      </c>
      <c r="L68" s="12" t="e">
        <f t="shared" si="1"/>
        <v>#REF!</v>
      </c>
      <c r="M68" s="64" t="s">
        <v>168</v>
      </c>
    </row>
    <row r="69" spans="2:13">
      <c r="B69" s="69" t="s">
        <v>1</v>
      </c>
      <c r="C69" s="458" t="s">
        <v>0</v>
      </c>
      <c r="D69" s="458"/>
      <c r="E69" s="458" t="s">
        <v>31</v>
      </c>
      <c r="F69" s="458"/>
      <c r="G69" s="458"/>
      <c r="H69" s="458"/>
      <c r="I69" s="458"/>
      <c r="J69" s="458"/>
      <c r="K69" s="45"/>
      <c r="L69" s="12" t="e">
        <f t="shared" si="1"/>
        <v>#REF!</v>
      </c>
      <c r="M69" s="64"/>
    </row>
    <row r="70" spans="2:13">
      <c r="B70" s="451" t="s">
        <v>192</v>
      </c>
      <c r="C70" s="452"/>
      <c r="D70" s="452"/>
      <c r="E70" s="452"/>
      <c r="F70" s="452"/>
      <c r="G70" s="452"/>
      <c r="H70" s="452"/>
      <c r="I70" s="452"/>
      <c r="J70" s="453"/>
      <c r="K70" s="46"/>
      <c r="L70" s="12" t="e">
        <f>SUM(L64:L69)</f>
        <v>#REF!</v>
      </c>
    </row>
    <row r="71" spans="2:13">
      <c r="B71" s="93"/>
      <c r="C71" s="94"/>
      <c r="D71" s="94"/>
      <c r="E71" s="94"/>
      <c r="F71" s="94"/>
      <c r="G71" s="94"/>
      <c r="H71" s="94"/>
      <c r="I71" s="94"/>
      <c r="J71" s="95"/>
      <c r="K71" s="34"/>
      <c r="L71" s="12"/>
    </row>
    <row r="72" spans="2:13">
      <c r="B72" s="446" t="s">
        <v>193</v>
      </c>
      <c r="C72" s="447"/>
      <c r="D72" s="447"/>
      <c r="E72" s="447"/>
      <c r="F72" s="447"/>
      <c r="G72" s="447"/>
      <c r="H72" s="447"/>
      <c r="I72" s="447"/>
      <c r="J72" s="447"/>
      <c r="K72" s="92" t="s">
        <v>9</v>
      </c>
      <c r="L72" s="12" t="s">
        <v>166</v>
      </c>
    </row>
    <row r="73" spans="2:13">
      <c r="B73" s="90" t="s">
        <v>4</v>
      </c>
      <c r="C73" s="421" t="s">
        <v>194</v>
      </c>
      <c r="D73" s="421"/>
      <c r="E73" s="421"/>
      <c r="F73" s="421"/>
      <c r="G73" s="421"/>
      <c r="H73" s="421"/>
      <c r="I73" s="421"/>
      <c r="J73" s="421"/>
      <c r="K73" s="41">
        <v>0</v>
      </c>
      <c r="L73" s="12" t="e">
        <f>K73*$L$17</f>
        <v>#REF!</v>
      </c>
    </row>
    <row r="74" spans="2:13">
      <c r="B74" s="451" t="s">
        <v>195</v>
      </c>
      <c r="C74" s="452"/>
      <c r="D74" s="452"/>
      <c r="E74" s="452"/>
      <c r="F74" s="452"/>
      <c r="G74" s="452"/>
      <c r="H74" s="452"/>
      <c r="I74" s="452"/>
      <c r="J74" s="453"/>
      <c r="K74" s="46"/>
      <c r="L74" s="12" t="e">
        <f>SUM(L73:L73)</f>
        <v>#REF!</v>
      </c>
    </row>
    <row r="75" spans="2:13">
      <c r="B75" s="93"/>
      <c r="C75" s="94"/>
      <c r="D75" s="94"/>
      <c r="E75" s="94"/>
      <c r="F75" s="94"/>
      <c r="G75" s="94"/>
      <c r="H75" s="94"/>
      <c r="I75" s="94"/>
      <c r="J75" s="94"/>
      <c r="K75" s="99"/>
      <c r="L75" s="12"/>
    </row>
    <row r="76" spans="2:13">
      <c r="B76" s="473" t="s">
        <v>196</v>
      </c>
      <c r="C76" s="473"/>
      <c r="D76" s="473"/>
      <c r="E76" s="473"/>
      <c r="F76" s="473"/>
      <c r="G76" s="473"/>
      <c r="H76" s="473"/>
      <c r="I76" s="473"/>
      <c r="J76" s="473"/>
      <c r="K76" s="473"/>
      <c r="L76" s="7" t="e">
        <f>L34</f>
        <v>#REF!</v>
      </c>
    </row>
    <row r="77" spans="2:13">
      <c r="B77" s="90" t="s">
        <v>197</v>
      </c>
      <c r="C77" s="448" t="s">
        <v>188</v>
      </c>
      <c r="D77" s="449"/>
      <c r="E77" s="449"/>
      <c r="F77" s="449"/>
      <c r="G77" s="449"/>
      <c r="H77" s="449"/>
      <c r="I77" s="449"/>
      <c r="J77" s="450"/>
      <c r="K77" s="80"/>
      <c r="L77" s="12" t="e">
        <f>L70</f>
        <v>#REF!</v>
      </c>
    </row>
    <row r="78" spans="2:13">
      <c r="B78" s="90" t="s">
        <v>198</v>
      </c>
      <c r="C78" s="448" t="s">
        <v>199</v>
      </c>
      <c r="D78" s="449"/>
      <c r="E78" s="449"/>
      <c r="F78" s="449"/>
      <c r="G78" s="449"/>
      <c r="H78" s="449"/>
      <c r="I78" s="449"/>
      <c r="J78" s="450"/>
      <c r="K78" s="80"/>
      <c r="L78" s="12" t="e">
        <f>L74</f>
        <v>#REF!</v>
      </c>
    </row>
    <row r="79" spans="2:13">
      <c r="B79" s="474" t="s">
        <v>200</v>
      </c>
      <c r="C79" s="475"/>
      <c r="D79" s="475"/>
      <c r="E79" s="475"/>
      <c r="F79" s="475"/>
      <c r="G79" s="475"/>
      <c r="H79" s="475"/>
      <c r="I79" s="475"/>
      <c r="J79" s="476"/>
      <c r="K79" s="101"/>
      <c r="L79" s="102" t="e">
        <f>SUM(L77:L78)</f>
        <v>#REF!</v>
      </c>
    </row>
    <row r="80" spans="2:13">
      <c r="B80" s="461"/>
      <c r="C80" s="462"/>
      <c r="D80" s="462"/>
      <c r="E80" s="462"/>
      <c r="F80" s="462"/>
      <c r="G80" s="462"/>
      <c r="H80" s="462"/>
      <c r="I80" s="462"/>
      <c r="J80" s="462"/>
      <c r="K80" s="462"/>
      <c r="L80" s="462"/>
    </row>
    <row r="81" spans="2:13">
      <c r="B81" s="454" t="s">
        <v>201</v>
      </c>
      <c r="C81" s="454"/>
      <c r="D81" s="454"/>
      <c r="E81" s="454"/>
      <c r="F81" s="454"/>
      <c r="G81" s="454"/>
      <c r="H81" s="454"/>
      <c r="I81" s="454"/>
      <c r="J81" s="454"/>
      <c r="K81" s="97"/>
      <c r="L81" s="98"/>
      <c r="M81" s="23"/>
    </row>
    <row r="82" spans="2:13">
      <c r="B82" s="69" t="s">
        <v>4</v>
      </c>
      <c r="C82" s="470" t="s">
        <v>54</v>
      </c>
      <c r="D82" s="470"/>
      <c r="E82" s="470"/>
      <c r="F82" s="470"/>
      <c r="G82" s="470"/>
      <c r="H82" s="470"/>
      <c r="I82" s="470"/>
      <c r="J82" s="470"/>
      <c r="K82" s="470"/>
      <c r="L82" s="12" t="e">
        <f>#REF!</f>
        <v>#REF!</v>
      </c>
    </row>
    <row r="83" spans="2:13">
      <c r="B83" s="69" t="s">
        <v>6</v>
      </c>
      <c r="C83" s="408" t="s">
        <v>203</v>
      </c>
      <c r="D83" s="409"/>
      <c r="E83" s="410" t="s">
        <v>55</v>
      </c>
      <c r="F83" s="411"/>
      <c r="G83" s="411"/>
      <c r="H83" s="411"/>
      <c r="I83" s="412"/>
      <c r="J83" s="471">
        <v>0.12</v>
      </c>
      <c r="K83" s="472"/>
      <c r="L83" s="19" t="e">
        <f>(L17+L51+L60+L79+L82)/(1-J83)*J83</f>
        <v>#REF!</v>
      </c>
      <c r="M83" s="24"/>
    </row>
    <row r="84" spans="2:13">
      <c r="B84" s="91" t="s">
        <v>210</v>
      </c>
      <c r="C84" s="408" t="s">
        <v>211</v>
      </c>
      <c r="D84" s="409"/>
      <c r="E84" s="410"/>
      <c r="F84" s="411"/>
      <c r="G84" s="411"/>
      <c r="H84" s="411"/>
      <c r="I84" s="412"/>
      <c r="J84" s="413">
        <f>H95+H96</f>
        <v>9.2499999999999999E-2</v>
      </c>
      <c r="K84" s="414"/>
      <c r="L84" s="19" t="e">
        <f>-J84*L83</f>
        <v>#REF!</v>
      </c>
      <c r="M84" s="24"/>
    </row>
    <row r="85" spans="2:13">
      <c r="B85" s="90" t="s">
        <v>10</v>
      </c>
      <c r="C85" s="83" t="s">
        <v>202</v>
      </c>
      <c r="D85" s="84"/>
      <c r="E85" s="85"/>
      <c r="F85" s="86"/>
      <c r="G85" s="86"/>
      <c r="H85" s="86"/>
      <c r="I85" s="87"/>
      <c r="J85" s="88"/>
      <c r="K85" s="89"/>
      <c r="L85" s="19"/>
      <c r="M85" s="24"/>
    </row>
    <row r="86" spans="2:13">
      <c r="B86" s="69" t="s">
        <v>204</v>
      </c>
      <c r="C86" s="458" t="s">
        <v>0</v>
      </c>
      <c r="D86" s="458"/>
      <c r="E86" s="458"/>
      <c r="F86" s="458"/>
      <c r="G86" s="458"/>
      <c r="H86" s="458"/>
      <c r="I86" s="458"/>
      <c r="J86" s="458"/>
      <c r="K86" s="458"/>
      <c r="L86" s="19">
        <v>0</v>
      </c>
    </row>
    <row r="87" spans="2:13">
      <c r="B87" s="474" t="s">
        <v>207</v>
      </c>
      <c r="C87" s="475"/>
      <c r="D87" s="475"/>
      <c r="E87" s="475"/>
      <c r="F87" s="475"/>
      <c r="G87" s="475"/>
      <c r="H87" s="475"/>
      <c r="I87" s="475"/>
      <c r="J87" s="476"/>
      <c r="K87" s="101"/>
      <c r="L87" s="102" t="e">
        <f>SUM(L82:L86)</f>
        <v>#REF!</v>
      </c>
    </row>
    <row r="88" spans="2:13">
      <c r="B88" s="25"/>
      <c r="C88" s="25"/>
      <c r="D88" s="25"/>
      <c r="E88" s="25"/>
      <c r="F88" s="25"/>
      <c r="G88" s="25"/>
      <c r="H88" s="25"/>
      <c r="I88" s="71"/>
      <c r="J88" s="25"/>
      <c r="K88" s="25"/>
    </row>
    <row r="89" spans="2:13">
      <c r="B89" s="16"/>
      <c r="C89" s="16"/>
      <c r="D89" s="16"/>
      <c r="E89" s="16"/>
      <c r="F89" s="16"/>
      <c r="G89" s="16"/>
      <c r="H89" s="48"/>
      <c r="I89" s="48"/>
      <c r="J89" s="48"/>
      <c r="K89" s="48"/>
      <c r="L89" s="49"/>
    </row>
    <row r="90" spans="2:13">
      <c r="B90" s="454" t="s">
        <v>205</v>
      </c>
      <c r="C90" s="454"/>
      <c r="D90" s="454"/>
      <c r="E90" s="454"/>
      <c r="F90" s="454"/>
      <c r="G90" s="454"/>
      <c r="H90" s="454"/>
      <c r="I90" s="454"/>
      <c r="J90" s="454"/>
      <c r="K90" s="97"/>
      <c r="L90" s="98" t="str">
        <f>L5</f>
        <v>SERVENTE</v>
      </c>
    </row>
    <row r="91" spans="2:13">
      <c r="B91" s="69" t="s">
        <v>4</v>
      </c>
      <c r="C91" s="421" t="s">
        <v>206</v>
      </c>
      <c r="D91" s="421"/>
      <c r="E91" s="421"/>
      <c r="F91" s="421"/>
      <c r="G91" s="421"/>
      <c r="H91" s="421"/>
      <c r="I91" s="421"/>
      <c r="J91" s="421"/>
      <c r="K91" s="65">
        <v>0.05</v>
      </c>
      <c r="L91" s="28" t="e">
        <f>K91*L110</f>
        <v>#REF!</v>
      </c>
      <c r="M91" s="50"/>
    </row>
    <row r="92" spans="2:13">
      <c r="B92" s="69" t="s">
        <v>6</v>
      </c>
      <c r="C92" s="421" t="s">
        <v>32</v>
      </c>
      <c r="D92" s="421"/>
      <c r="E92" s="421"/>
      <c r="F92" s="421"/>
      <c r="G92" s="421"/>
      <c r="H92" s="421"/>
      <c r="I92" s="421"/>
      <c r="J92" s="421"/>
      <c r="K92" s="65">
        <v>6.8099999999999994E-2</v>
      </c>
      <c r="L92" s="28" t="e">
        <f>K92*L110</f>
        <v>#REF!</v>
      </c>
      <c r="M92" s="50"/>
    </row>
    <row r="93" spans="2:13">
      <c r="B93" s="427" t="s">
        <v>10</v>
      </c>
      <c r="C93" s="435" t="s">
        <v>33</v>
      </c>
      <c r="D93" s="436"/>
      <c r="E93" s="436"/>
      <c r="F93" s="436"/>
      <c r="G93" s="436"/>
      <c r="H93" s="436"/>
      <c r="I93" s="437"/>
      <c r="J93" s="438" t="e">
        <f>L110+L91+L92</f>
        <v>#REF!</v>
      </c>
      <c r="K93" s="439"/>
      <c r="L93" s="47"/>
    </row>
    <row r="94" spans="2:13">
      <c r="B94" s="427"/>
      <c r="C94" s="440" t="s">
        <v>34</v>
      </c>
      <c r="D94" s="441"/>
      <c r="E94" s="441"/>
      <c r="F94" s="442"/>
      <c r="G94" s="70"/>
      <c r="H94" s="70" t="s">
        <v>35</v>
      </c>
      <c r="I94" s="70"/>
      <c r="J94" s="443"/>
      <c r="K94" s="444"/>
      <c r="L94" s="47"/>
    </row>
    <row r="95" spans="2:13">
      <c r="B95" s="427"/>
      <c r="C95" s="434" t="s">
        <v>36</v>
      </c>
      <c r="D95" s="434"/>
      <c r="E95" s="434"/>
      <c r="F95" s="434"/>
      <c r="G95" s="68" t="s">
        <v>37</v>
      </c>
      <c r="H95" s="35">
        <v>1.6500000000000001E-2</v>
      </c>
      <c r="I95" s="445">
        <f>SUM(H95:H100)</f>
        <v>0.13250000000000001</v>
      </c>
      <c r="J95" s="432" t="e">
        <f t="shared" ref="J95:J100" si="2">ROUND($L$112*H95,2)</f>
        <v>#REF!</v>
      </c>
      <c r="K95" s="433"/>
      <c r="L95" s="429" t="e">
        <f>SUM(J95:K100)</f>
        <v>#REF!</v>
      </c>
    </row>
    <row r="96" spans="2:13">
      <c r="B96" s="427"/>
      <c r="C96" s="434"/>
      <c r="D96" s="434"/>
      <c r="E96" s="434"/>
      <c r="F96" s="434"/>
      <c r="G96" s="68" t="s">
        <v>38</v>
      </c>
      <c r="H96" s="35">
        <v>7.5999999999999998E-2</v>
      </c>
      <c r="I96" s="445"/>
      <c r="J96" s="432" t="e">
        <f t="shared" si="2"/>
        <v>#REF!</v>
      </c>
      <c r="K96" s="433"/>
      <c r="L96" s="430"/>
    </row>
    <row r="97" spans="2:12">
      <c r="B97" s="427"/>
      <c r="C97" s="434"/>
      <c r="D97" s="434"/>
      <c r="E97" s="434"/>
      <c r="F97" s="434"/>
      <c r="G97" s="68" t="s">
        <v>39</v>
      </c>
      <c r="H97" s="35">
        <v>0</v>
      </c>
      <c r="I97" s="445"/>
      <c r="J97" s="432" t="e">
        <f t="shared" si="2"/>
        <v>#REF!</v>
      </c>
      <c r="K97" s="433"/>
      <c r="L97" s="430"/>
    </row>
    <row r="98" spans="2:12">
      <c r="B98" s="427"/>
      <c r="C98" s="434" t="s">
        <v>40</v>
      </c>
      <c r="D98" s="434"/>
      <c r="E98" s="434"/>
      <c r="F98" s="434"/>
      <c r="G98" s="67" t="s">
        <v>41</v>
      </c>
      <c r="H98" s="35">
        <v>0.04</v>
      </c>
      <c r="I98" s="445"/>
      <c r="J98" s="432" t="e">
        <f t="shared" si="2"/>
        <v>#REF!</v>
      </c>
      <c r="K98" s="433"/>
      <c r="L98" s="430"/>
    </row>
    <row r="99" spans="2:12">
      <c r="B99" s="427"/>
      <c r="C99" s="434"/>
      <c r="D99" s="434"/>
      <c r="E99" s="434"/>
      <c r="F99" s="434"/>
      <c r="G99" s="67" t="s">
        <v>39</v>
      </c>
      <c r="H99" s="35">
        <v>0</v>
      </c>
      <c r="I99" s="445"/>
      <c r="J99" s="432" t="e">
        <f t="shared" si="2"/>
        <v>#REF!</v>
      </c>
      <c r="K99" s="433"/>
      <c r="L99" s="430"/>
    </row>
    <row r="100" spans="2:12">
      <c r="B100" s="427"/>
      <c r="C100" s="434" t="s">
        <v>42</v>
      </c>
      <c r="D100" s="434"/>
      <c r="E100" s="434"/>
      <c r="F100" s="434"/>
      <c r="G100" s="67"/>
      <c r="H100" s="35">
        <v>0</v>
      </c>
      <c r="I100" s="445"/>
      <c r="J100" s="432" t="e">
        <f t="shared" si="2"/>
        <v>#REF!</v>
      </c>
      <c r="K100" s="433"/>
      <c r="L100" s="431"/>
    </row>
    <row r="101" spans="2:12">
      <c r="B101" s="427" t="s">
        <v>43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60" t="e">
        <f>L95+L92+L91</f>
        <v>#REF!</v>
      </c>
    </row>
    <row r="102" spans="2:12">
      <c r="B102" s="51"/>
      <c r="C102" s="51"/>
      <c r="D102" s="51"/>
      <c r="E102" s="51"/>
      <c r="F102" s="51"/>
      <c r="G102" s="51"/>
      <c r="H102" s="51"/>
      <c r="I102" s="52"/>
      <c r="J102" s="53"/>
      <c r="K102" s="51"/>
    </row>
    <row r="103" spans="2:12">
      <c r="B103" s="428" t="s">
        <v>44</v>
      </c>
      <c r="C103" s="428"/>
      <c r="D103" s="428"/>
      <c r="E103" s="428"/>
      <c r="F103" s="428"/>
      <c r="G103" s="428"/>
      <c r="H103" s="428"/>
      <c r="I103" s="428"/>
      <c r="J103" s="428"/>
      <c r="K103" s="428"/>
      <c r="L103" s="428"/>
    </row>
    <row r="104" spans="2:12">
      <c r="B104" s="422" t="s">
        <v>45</v>
      </c>
      <c r="C104" s="422"/>
      <c r="D104" s="422"/>
      <c r="E104" s="422"/>
      <c r="F104" s="422"/>
      <c r="G104" s="422"/>
      <c r="H104" s="422"/>
      <c r="I104" s="422"/>
      <c r="J104" s="422"/>
      <c r="K104" s="422"/>
      <c r="L104" s="7" t="str">
        <f>L5</f>
        <v>SERVENTE</v>
      </c>
    </row>
    <row r="105" spans="2:12">
      <c r="B105" s="69" t="s">
        <v>4</v>
      </c>
      <c r="C105" s="421" t="str">
        <f>B6</f>
        <v xml:space="preserve">MÓDULO 01 – Composição da Remuneração </v>
      </c>
      <c r="D105" s="421"/>
      <c r="E105" s="421"/>
      <c r="F105" s="421"/>
      <c r="G105" s="421"/>
      <c r="H105" s="421"/>
      <c r="I105" s="421"/>
      <c r="J105" s="421"/>
      <c r="K105" s="421"/>
      <c r="L105" s="54" t="e">
        <f>L17</f>
        <v>#REF!</v>
      </c>
    </row>
    <row r="106" spans="2:12">
      <c r="B106" s="69" t="s">
        <v>6</v>
      </c>
      <c r="C106" s="421" t="str">
        <f>B19</f>
        <v>MÓDULO 2 – ENCARGOS E BENEFÍCIOS ANUAIS, MENSAIS E DIÁRIOS</v>
      </c>
      <c r="D106" s="421"/>
      <c r="E106" s="421"/>
      <c r="F106" s="421"/>
      <c r="G106" s="421"/>
      <c r="H106" s="421"/>
      <c r="I106" s="421"/>
      <c r="J106" s="421"/>
      <c r="K106" s="421"/>
      <c r="L106" s="54" t="e">
        <f>L51</f>
        <v>#REF!</v>
      </c>
    </row>
    <row r="107" spans="2:12">
      <c r="B107" s="69" t="s">
        <v>10</v>
      </c>
      <c r="C107" s="421" t="str">
        <f>B53</f>
        <v>MÓDULO 3 – PROVISÃO PARA RESCISÃO</v>
      </c>
      <c r="D107" s="421"/>
      <c r="E107" s="421"/>
      <c r="F107" s="421"/>
      <c r="G107" s="421"/>
      <c r="H107" s="421"/>
      <c r="I107" s="421"/>
      <c r="J107" s="421"/>
      <c r="K107" s="421"/>
      <c r="L107" s="54" t="e">
        <f>L60</f>
        <v>#REF!</v>
      </c>
    </row>
    <row r="108" spans="2:12">
      <c r="B108" s="69" t="s">
        <v>12</v>
      </c>
      <c r="C108" s="421" t="str">
        <f>B62</f>
        <v>MÓDULO 4 – CUSTO DE REPOSIÇÃO DO PROFISSIONAL AUSENTE</v>
      </c>
      <c r="D108" s="421"/>
      <c r="E108" s="421"/>
      <c r="F108" s="421"/>
      <c r="G108" s="421"/>
      <c r="H108" s="421"/>
      <c r="I108" s="421"/>
      <c r="J108" s="421"/>
      <c r="K108" s="421"/>
      <c r="L108" s="54" t="e">
        <f>L79</f>
        <v>#REF!</v>
      </c>
    </row>
    <row r="109" spans="2:12">
      <c r="B109" s="90" t="s">
        <v>14</v>
      </c>
      <c r="C109" s="421" t="str">
        <f>B81</f>
        <v>MÓDULO 5 – INSUMOS DIVERSOS</v>
      </c>
      <c r="D109" s="421"/>
      <c r="E109" s="421"/>
      <c r="F109" s="421"/>
      <c r="G109" s="421"/>
      <c r="H109" s="421"/>
      <c r="I109" s="421"/>
      <c r="J109" s="421"/>
      <c r="K109" s="421"/>
      <c r="L109" s="54" t="e">
        <f>L87</f>
        <v>#REF!</v>
      </c>
    </row>
    <row r="110" spans="2:12">
      <c r="B110" s="422" t="s">
        <v>209</v>
      </c>
      <c r="C110" s="422"/>
      <c r="D110" s="422"/>
      <c r="E110" s="422"/>
      <c r="F110" s="422"/>
      <c r="G110" s="422"/>
      <c r="H110" s="422"/>
      <c r="I110" s="422"/>
      <c r="J110" s="422"/>
      <c r="K110" s="422"/>
      <c r="L110" s="61" t="e">
        <f>SUM(L105:L109)</f>
        <v>#REF!</v>
      </c>
    </row>
    <row r="111" spans="2:12">
      <c r="B111" s="69" t="s">
        <v>14</v>
      </c>
      <c r="C111" s="421" t="s">
        <v>46</v>
      </c>
      <c r="D111" s="421"/>
      <c r="E111" s="421"/>
      <c r="F111" s="421"/>
      <c r="G111" s="421"/>
      <c r="H111" s="421"/>
      <c r="I111" s="421"/>
      <c r="J111" s="421"/>
      <c r="K111" s="421"/>
      <c r="L111" s="55" t="e">
        <f>L112-L110</f>
        <v>#REF!</v>
      </c>
    </row>
    <row r="112" spans="2:12">
      <c r="B112" s="423" t="s">
        <v>47</v>
      </c>
      <c r="C112" s="423"/>
      <c r="D112" s="423"/>
      <c r="E112" s="423"/>
      <c r="F112" s="423"/>
      <c r="G112" s="423"/>
      <c r="H112" s="423"/>
      <c r="I112" s="423"/>
      <c r="J112" s="423"/>
      <c r="K112" s="423"/>
      <c r="L112" s="62" t="e">
        <f>ROUND(J93/(1-$I$95),2)</f>
        <v>#REF!</v>
      </c>
    </row>
    <row r="113" spans="6:12">
      <c r="K113" s="50"/>
    </row>
    <row r="115" spans="6:12">
      <c r="F115" s="424" t="s">
        <v>48</v>
      </c>
      <c r="G115" s="425"/>
      <c r="H115" s="425"/>
      <c r="I115" s="426"/>
      <c r="J115" s="1"/>
      <c r="L115" s="1"/>
    </row>
    <row r="116" spans="6:12">
      <c r="F116" s="424" t="s">
        <v>49</v>
      </c>
      <c r="G116" s="425"/>
      <c r="H116" s="426"/>
      <c r="I116" s="56" t="s">
        <v>9</v>
      </c>
      <c r="J116" s="1"/>
      <c r="L116" s="1"/>
    </row>
    <row r="117" spans="6:12">
      <c r="F117" s="57" t="s">
        <v>50</v>
      </c>
      <c r="G117" s="57"/>
      <c r="H117" s="58"/>
      <c r="I117" s="58">
        <f>K91</f>
        <v>0.05</v>
      </c>
      <c r="J117" s="1"/>
      <c r="L117" s="1"/>
    </row>
    <row r="118" spans="6:12">
      <c r="F118" s="415" t="s">
        <v>32</v>
      </c>
      <c r="G118" s="416"/>
      <c r="H118" s="417"/>
      <c r="I118" s="58">
        <f>K92</f>
        <v>6.8099999999999994E-2</v>
      </c>
      <c r="J118" s="1"/>
      <c r="L118" s="1"/>
    </row>
    <row r="119" spans="6:12">
      <c r="F119" s="57" t="s">
        <v>51</v>
      </c>
      <c r="G119" s="57"/>
      <c r="H119" s="58"/>
      <c r="I119" s="58">
        <f>I95</f>
        <v>0.13250000000000001</v>
      </c>
      <c r="J119" s="1"/>
      <c r="L119" s="1"/>
    </row>
    <row r="120" spans="6:12">
      <c r="F120" s="418" t="s">
        <v>52</v>
      </c>
      <c r="G120" s="419"/>
      <c r="H120" s="420"/>
      <c r="I120" s="58">
        <f>(1+I117)*(1+I118)/(1-I119)-1</f>
        <v>0.29280115273775253</v>
      </c>
      <c r="J120" s="1"/>
      <c r="L120" s="1"/>
    </row>
  </sheetData>
  <mergeCells count="126">
    <mergeCell ref="I59:J59"/>
    <mergeCell ref="G67:H67"/>
    <mergeCell ref="C67:E67"/>
    <mergeCell ref="C68:E68"/>
    <mergeCell ref="B70:J70"/>
    <mergeCell ref="B63:J63"/>
    <mergeCell ref="B87:J87"/>
    <mergeCell ref="B62:J62"/>
    <mergeCell ref="C64:J64"/>
    <mergeCell ref="G68:H68"/>
    <mergeCell ref="C69:J69"/>
    <mergeCell ref="B72:J72"/>
    <mergeCell ref="C73:J73"/>
    <mergeCell ref="G65:I65"/>
    <mergeCell ref="C66:F66"/>
    <mergeCell ref="G66:H66"/>
    <mergeCell ref="C78:J78"/>
    <mergeCell ref="B74:J74"/>
    <mergeCell ref="B76:K76"/>
    <mergeCell ref="C77:J77"/>
    <mergeCell ref="B79:J79"/>
    <mergeCell ref="B80:L80"/>
    <mergeCell ref="B81:J81"/>
    <mergeCell ref="C91:J91"/>
    <mergeCell ref="L95:L100"/>
    <mergeCell ref="J96:K96"/>
    <mergeCell ref="J97:K97"/>
    <mergeCell ref="C98:F99"/>
    <mergeCell ref="J98:K98"/>
    <mergeCell ref="J99:K99"/>
    <mergeCell ref="C94:F94"/>
    <mergeCell ref="J94:K94"/>
    <mergeCell ref="C95:F97"/>
    <mergeCell ref="B90:J90"/>
    <mergeCell ref="C100:F100"/>
    <mergeCell ref="J100:K100"/>
    <mergeCell ref="C92:J92"/>
    <mergeCell ref="B93:B100"/>
    <mergeCell ref="C93:I93"/>
    <mergeCell ref="J93:K93"/>
    <mergeCell ref="F118:H118"/>
    <mergeCell ref="F120:H120"/>
    <mergeCell ref="C108:K108"/>
    <mergeCell ref="B110:K110"/>
    <mergeCell ref="C111:K111"/>
    <mergeCell ref="B112:K112"/>
    <mergeCell ref="F115:I115"/>
    <mergeCell ref="F116:H116"/>
    <mergeCell ref="B101:K101"/>
    <mergeCell ref="B103:L103"/>
    <mergeCell ref="B104:K104"/>
    <mergeCell ref="C105:K105"/>
    <mergeCell ref="C106:K106"/>
    <mergeCell ref="C107:K107"/>
    <mergeCell ref="C109:K109"/>
    <mergeCell ref="I95:I100"/>
    <mergeCell ref="J95:K95"/>
    <mergeCell ref="C28:J28"/>
    <mergeCell ref="C29:J29"/>
    <mergeCell ref="C30:J30"/>
    <mergeCell ref="C32:F32"/>
    <mergeCell ref="C33:J33"/>
    <mergeCell ref="C31:D31"/>
    <mergeCell ref="E31:F31"/>
    <mergeCell ref="G31:J31"/>
    <mergeCell ref="B34:J34"/>
    <mergeCell ref="B36:J36"/>
    <mergeCell ref="C37:J37"/>
    <mergeCell ref="C38:J38"/>
    <mergeCell ref="C39:J39"/>
    <mergeCell ref="C40:J40"/>
    <mergeCell ref="C41:J41"/>
    <mergeCell ref="C42:J42"/>
    <mergeCell ref="C43:J43"/>
    <mergeCell ref="I57:J57"/>
    <mergeCell ref="I55:J55"/>
    <mergeCell ref="C56:H56"/>
    <mergeCell ref="I56:J56"/>
    <mergeCell ref="C58:H58"/>
    <mergeCell ref="I58:J58"/>
    <mergeCell ref="C59:H59"/>
    <mergeCell ref="C86:K86"/>
    <mergeCell ref="B19:K19"/>
    <mergeCell ref="B20:J20"/>
    <mergeCell ref="B23:J23"/>
    <mergeCell ref="C21:J21"/>
    <mergeCell ref="C22:J22"/>
    <mergeCell ref="B45:J45"/>
    <mergeCell ref="C26:J26"/>
    <mergeCell ref="C27:J27"/>
    <mergeCell ref="C44:K44"/>
    <mergeCell ref="C82:K82"/>
    <mergeCell ref="C83:D83"/>
    <mergeCell ref="E83:I83"/>
    <mergeCell ref="J83:K83"/>
    <mergeCell ref="B47:K47"/>
    <mergeCell ref="C48:J48"/>
    <mergeCell ref="C49:J49"/>
    <mergeCell ref="C50:J50"/>
    <mergeCell ref="B51:J51"/>
    <mergeCell ref="B60:J60"/>
    <mergeCell ref="C55:H55"/>
    <mergeCell ref="C12:I12"/>
    <mergeCell ref="C13:I13"/>
    <mergeCell ref="B25:J25"/>
    <mergeCell ref="C84:D84"/>
    <mergeCell ref="E84:I84"/>
    <mergeCell ref="J84:K84"/>
    <mergeCell ref="B2:L2"/>
    <mergeCell ref="B3:L4"/>
    <mergeCell ref="B6:L6"/>
    <mergeCell ref="C7:K7"/>
    <mergeCell ref="C9:E9"/>
    <mergeCell ref="F9:I9"/>
    <mergeCell ref="C8:K8"/>
    <mergeCell ref="C10:I10"/>
    <mergeCell ref="C11:I11"/>
    <mergeCell ref="C14:I14"/>
    <mergeCell ref="C15:K15"/>
    <mergeCell ref="C16:K16"/>
    <mergeCell ref="B17:K17"/>
    <mergeCell ref="C57:H57"/>
    <mergeCell ref="B53:J53"/>
    <mergeCell ref="C54:H54"/>
    <mergeCell ref="B52:L52"/>
    <mergeCell ref="C65:F65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120"/>
  <sheetViews>
    <sheetView topLeftCell="A64" workbookViewId="0">
      <selection activeCell="G85" sqref="G85"/>
    </sheetView>
  </sheetViews>
  <sheetFormatPr defaultColWidth="11.85546875" defaultRowHeight="15"/>
  <cols>
    <col min="1" max="1" width="6.28515625" style="1" customWidth="1"/>
    <col min="2" max="2" width="4.5703125" style="1" customWidth="1"/>
    <col min="3" max="3" width="9" style="1" customWidth="1"/>
    <col min="4" max="4" width="25" style="1" customWidth="1"/>
    <col min="5" max="5" width="4.7109375" style="1" bestFit="1" customWidth="1"/>
    <col min="6" max="6" width="9" style="1" bestFit="1" customWidth="1"/>
    <col min="7" max="7" width="10.42578125" style="1" customWidth="1"/>
    <col min="8" max="8" width="10.7109375" style="1" customWidth="1"/>
    <col min="9" max="9" width="16.7109375" style="32" customWidth="1"/>
    <col min="10" max="10" width="9" style="33" bestFit="1" customWidth="1"/>
    <col min="11" max="11" width="9.140625" style="1" bestFit="1" customWidth="1"/>
    <col min="12" max="12" width="12.7109375" style="18" bestFit="1" customWidth="1"/>
    <col min="13" max="13" width="13.28515625" style="1" bestFit="1" customWidth="1"/>
    <col min="14" max="16384" width="11.85546875" style="1"/>
  </cols>
  <sheetData>
    <row r="2" spans="2:13">
      <c r="B2" s="463" t="s">
        <v>2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</row>
    <row r="3" spans="2:13" s="2" customFormat="1">
      <c r="B3" s="464" t="e">
        <f>#REF!</f>
        <v>#REF!</v>
      </c>
      <c r="C3" s="465"/>
      <c r="D3" s="465"/>
      <c r="E3" s="465"/>
      <c r="F3" s="465"/>
      <c r="G3" s="465"/>
      <c r="H3" s="465"/>
      <c r="I3" s="465"/>
      <c r="J3" s="465"/>
      <c r="K3" s="465"/>
      <c r="L3" s="466"/>
    </row>
    <row r="4" spans="2:13" s="2" customFormat="1">
      <c r="B4" s="467"/>
      <c r="C4" s="468"/>
      <c r="D4" s="468"/>
      <c r="E4" s="468"/>
      <c r="F4" s="468"/>
      <c r="G4" s="468"/>
      <c r="H4" s="468"/>
      <c r="I4" s="468"/>
      <c r="J4" s="468"/>
      <c r="K4" s="468"/>
      <c r="L4" s="469"/>
    </row>
    <row r="5" spans="2:13">
      <c r="B5" s="3"/>
      <c r="C5" s="4"/>
      <c r="D5" s="4"/>
      <c r="E5" s="4"/>
      <c r="F5" s="4"/>
      <c r="G5" s="4"/>
      <c r="H5" s="4"/>
      <c r="I5" s="5"/>
      <c r="J5" s="4"/>
      <c r="K5" s="6"/>
      <c r="L5" s="7" t="s">
        <v>53</v>
      </c>
    </row>
    <row r="6" spans="2:13">
      <c r="B6" s="454" t="s">
        <v>3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</row>
    <row r="7" spans="2:13">
      <c r="B7" s="69" t="s">
        <v>4</v>
      </c>
      <c r="C7" s="421" t="s">
        <v>5</v>
      </c>
      <c r="D7" s="421"/>
      <c r="E7" s="421"/>
      <c r="F7" s="421"/>
      <c r="G7" s="421"/>
      <c r="H7" s="421"/>
      <c r="I7" s="421"/>
      <c r="J7" s="421"/>
      <c r="K7" s="421"/>
      <c r="L7" s="9" t="e">
        <f>#REF!</f>
        <v>#REF!</v>
      </c>
    </row>
    <row r="8" spans="2:13">
      <c r="B8" s="79" t="s">
        <v>154</v>
      </c>
      <c r="C8" s="421" t="s">
        <v>155</v>
      </c>
      <c r="D8" s="421"/>
      <c r="E8" s="421"/>
      <c r="F8" s="421"/>
      <c r="G8" s="421"/>
      <c r="H8" s="421"/>
      <c r="I8" s="421"/>
      <c r="J8" s="421"/>
      <c r="K8" s="421"/>
      <c r="L8" s="9"/>
    </row>
    <row r="9" spans="2:13">
      <c r="B9" s="69" t="s">
        <v>6</v>
      </c>
      <c r="C9" s="421" t="s">
        <v>7</v>
      </c>
      <c r="D9" s="421"/>
      <c r="E9" s="421"/>
      <c r="F9" s="455" t="s">
        <v>8</v>
      </c>
      <c r="G9" s="455"/>
      <c r="H9" s="455"/>
      <c r="I9" s="455"/>
      <c r="J9" s="10" t="s">
        <v>9</v>
      </c>
      <c r="K9" s="11">
        <v>0</v>
      </c>
      <c r="L9" s="12">
        <v>0</v>
      </c>
      <c r="M9" s="13"/>
    </row>
    <row r="10" spans="2:13">
      <c r="B10" s="90" t="s">
        <v>10</v>
      </c>
      <c r="C10" s="448" t="s">
        <v>160</v>
      </c>
      <c r="D10" s="449"/>
      <c r="E10" s="449"/>
      <c r="F10" s="449"/>
      <c r="G10" s="449"/>
      <c r="H10" s="449"/>
      <c r="I10" s="450"/>
      <c r="J10" s="10" t="s">
        <v>9</v>
      </c>
      <c r="K10" s="11">
        <v>0</v>
      </c>
      <c r="L10" s="12">
        <v>0</v>
      </c>
      <c r="M10" s="13"/>
    </row>
    <row r="11" spans="2:13">
      <c r="B11" s="90" t="s">
        <v>12</v>
      </c>
      <c r="C11" s="448" t="s">
        <v>157</v>
      </c>
      <c r="D11" s="449"/>
      <c r="E11" s="449"/>
      <c r="F11" s="449"/>
      <c r="G11" s="449"/>
      <c r="H11" s="449"/>
      <c r="I11" s="450"/>
      <c r="J11" s="10" t="s">
        <v>9</v>
      </c>
      <c r="K11" s="11">
        <v>0</v>
      </c>
      <c r="L11" s="12">
        <v>0</v>
      </c>
      <c r="M11" s="13"/>
    </row>
    <row r="12" spans="2:13">
      <c r="B12" s="90" t="s">
        <v>14</v>
      </c>
      <c r="C12" s="448" t="s">
        <v>158</v>
      </c>
      <c r="D12" s="449"/>
      <c r="E12" s="449"/>
      <c r="F12" s="449"/>
      <c r="G12" s="449"/>
      <c r="H12" s="449"/>
      <c r="I12" s="450"/>
      <c r="J12" s="10" t="s">
        <v>9</v>
      </c>
      <c r="K12" s="11">
        <v>0</v>
      </c>
      <c r="L12" s="12">
        <v>0</v>
      </c>
      <c r="M12" s="13"/>
    </row>
    <row r="13" spans="2:13">
      <c r="B13" s="90" t="s">
        <v>1</v>
      </c>
      <c r="C13" s="448" t="s">
        <v>159</v>
      </c>
      <c r="D13" s="449"/>
      <c r="E13" s="449"/>
      <c r="F13" s="449"/>
      <c r="G13" s="449"/>
      <c r="H13" s="449"/>
      <c r="I13" s="450"/>
      <c r="J13" s="10" t="s">
        <v>9</v>
      </c>
      <c r="K13" s="11">
        <v>0</v>
      </c>
      <c r="L13" s="12">
        <v>0</v>
      </c>
      <c r="M13" s="13"/>
    </row>
    <row r="14" spans="2:13">
      <c r="B14" s="90" t="s">
        <v>15</v>
      </c>
      <c r="C14" s="477" t="s">
        <v>11</v>
      </c>
      <c r="D14" s="477"/>
      <c r="E14" s="477"/>
      <c r="F14" s="477"/>
      <c r="G14" s="477"/>
      <c r="H14" s="477"/>
      <c r="I14" s="477"/>
      <c r="J14" s="10" t="s">
        <v>9</v>
      </c>
      <c r="K14" s="14">
        <v>0</v>
      </c>
      <c r="L14" s="12">
        <v>0</v>
      </c>
      <c r="M14" s="13"/>
    </row>
    <row r="15" spans="2:13">
      <c r="B15" s="90" t="s">
        <v>16</v>
      </c>
      <c r="C15" s="478" t="s">
        <v>13</v>
      </c>
      <c r="D15" s="478"/>
      <c r="E15" s="478"/>
      <c r="F15" s="478"/>
      <c r="G15" s="478"/>
      <c r="H15" s="478"/>
      <c r="I15" s="478"/>
      <c r="J15" s="478"/>
      <c r="K15" s="478"/>
      <c r="L15" s="12">
        <v>0</v>
      </c>
      <c r="M15" s="13"/>
    </row>
    <row r="16" spans="2:13">
      <c r="B16" s="90" t="s">
        <v>156</v>
      </c>
      <c r="C16" s="458" t="s">
        <v>0</v>
      </c>
      <c r="D16" s="458"/>
      <c r="E16" s="458"/>
      <c r="F16" s="458"/>
      <c r="G16" s="458"/>
      <c r="H16" s="458"/>
      <c r="I16" s="458"/>
      <c r="J16" s="458"/>
      <c r="K16" s="458"/>
      <c r="L16" s="12"/>
      <c r="M16" s="13"/>
    </row>
    <row r="17" spans="2:13">
      <c r="B17" s="479" t="s">
        <v>208</v>
      </c>
      <c r="C17" s="479"/>
      <c r="D17" s="479"/>
      <c r="E17" s="479"/>
      <c r="F17" s="479"/>
      <c r="G17" s="479"/>
      <c r="H17" s="479"/>
      <c r="I17" s="479"/>
      <c r="J17" s="479"/>
      <c r="K17" s="479"/>
      <c r="L17" s="100" t="e">
        <f>SUM(L7:L16)</f>
        <v>#REF!</v>
      </c>
      <c r="M17" s="15"/>
    </row>
    <row r="18" spans="2:13">
      <c r="B18" s="16"/>
      <c r="C18" s="16"/>
      <c r="D18" s="16"/>
      <c r="E18" s="16"/>
      <c r="F18" s="16"/>
      <c r="G18" s="16"/>
      <c r="H18" s="16"/>
      <c r="I18" s="17"/>
      <c r="J18" s="16"/>
      <c r="K18" s="16"/>
    </row>
    <row r="19" spans="2:13">
      <c r="B19" s="454" t="s">
        <v>161</v>
      </c>
      <c r="C19" s="454"/>
      <c r="D19" s="454"/>
      <c r="E19" s="454"/>
      <c r="F19" s="454"/>
      <c r="G19" s="454"/>
      <c r="H19" s="454"/>
      <c r="I19" s="454"/>
      <c r="J19" s="454"/>
      <c r="K19" s="454"/>
      <c r="L19" s="7" t="str">
        <f>L5</f>
        <v>SERVENTE</v>
      </c>
    </row>
    <row r="20" spans="2:13">
      <c r="B20" s="446" t="s">
        <v>162</v>
      </c>
      <c r="C20" s="447"/>
      <c r="D20" s="447"/>
      <c r="E20" s="447"/>
      <c r="F20" s="447"/>
      <c r="G20" s="447"/>
      <c r="H20" s="447"/>
      <c r="I20" s="447"/>
      <c r="J20" s="447"/>
      <c r="K20" s="92" t="s">
        <v>9</v>
      </c>
      <c r="L20" s="12" t="s">
        <v>166</v>
      </c>
    </row>
    <row r="21" spans="2:13">
      <c r="B21" s="90" t="s">
        <v>4</v>
      </c>
      <c r="C21" s="448" t="s">
        <v>163</v>
      </c>
      <c r="D21" s="449"/>
      <c r="E21" s="449"/>
      <c r="F21" s="449"/>
      <c r="G21" s="449"/>
      <c r="H21" s="449"/>
      <c r="I21" s="449"/>
      <c r="J21" s="450"/>
      <c r="K21" s="34">
        <v>8.3299999999999999E-2</v>
      </c>
      <c r="L21" s="12" t="e">
        <f>K21*L17</f>
        <v>#REF!</v>
      </c>
    </row>
    <row r="22" spans="2:13">
      <c r="B22" s="90" t="s">
        <v>6</v>
      </c>
      <c r="C22" s="448" t="s">
        <v>164</v>
      </c>
      <c r="D22" s="449"/>
      <c r="E22" s="449"/>
      <c r="F22" s="449"/>
      <c r="G22" s="449"/>
      <c r="H22" s="449"/>
      <c r="I22" s="449"/>
      <c r="J22" s="450"/>
      <c r="K22" s="34">
        <v>2.7799999999999998E-2</v>
      </c>
      <c r="L22" s="12" t="e">
        <f>K22*L17</f>
        <v>#REF!</v>
      </c>
    </row>
    <row r="23" spans="2:13">
      <c r="B23" s="451" t="s">
        <v>165</v>
      </c>
      <c r="C23" s="452"/>
      <c r="D23" s="452"/>
      <c r="E23" s="452"/>
      <c r="F23" s="452"/>
      <c r="G23" s="452"/>
      <c r="H23" s="452"/>
      <c r="I23" s="452"/>
      <c r="J23" s="453"/>
      <c r="K23" s="34">
        <f>SUM(K21:K22)</f>
        <v>0.1111</v>
      </c>
      <c r="L23" s="12" t="e">
        <f>SUM(L21:L22)</f>
        <v>#REF!</v>
      </c>
    </row>
    <row r="24" spans="2:13">
      <c r="B24" s="93"/>
      <c r="C24" s="94"/>
      <c r="D24" s="94"/>
      <c r="E24" s="94"/>
      <c r="F24" s="94"/>
      <c r="G24" s="94"/>
      <c r="H24" s="94"/>
      <c r="I24" s="94"/>
      <c r="J24" s="95"/>
      <c r="K24" s="34"/>
      <c r="L24" s="12"/>
    </row>
    <row r="25" spans="2:13">
      <c r="B25" s="446" t="s">
        <v>167</v>
      </c>
      <c r="C25" s="447"/>
      <c r="D25" s="447"/>
      <c r="E25" s="447"/>
      <c r="F25" s="447"/>
      <c r="G25" s="447"/>
      <c r="H25" s="447"/>
      <c r="I25" s="447"/>
      <c r="J25" s="447"/>
      <c r="K25" s="92" t="s">
        <v>9</v>
      </c>
      <c r="L25" s="12" t="s">
        <v>166</v>
      </c>
    </row>
    <row r="26" spans="2:13">
      <c r="B26" s="74" t="s">
        <v>4</v>
      </c>
      <c r="C26" s="455" t="s">
        <v>17</v>
      </c>
      <c r="D26" s="455"/>
      <c r="E26" s="455"/>
      <c r="F26" s="455"/>
      <c r="G26" s="455"/>
      <c r="H26" s="455"/>
      <c r="I26" s="455"/>
      <c r="J26" s="455"/>
      <c r="K26" s="27">
        <v>0.2</v>
      </c>
      <c r="L26" s="28" t="e">
        <f>ROUND($K$26*L17,2)</f>
        <v>#REF!</v>
      </c>
    </row>
    <row r="27" spans="2:13">
      <c r="B27" s="74" t="s">
        <v>6</v>
      </c>
      <c r="C27" s="455" t="s">
        <v>18</v>
      </c>
      <c r="D27" s="455"/>
      <c r="E27" s="455"/>
      <c r="F27" s="455"/>
      <c r="G27" s="455"/>
      <c r="H27" s="455"/>
      <c r="I27" s="455"/>
      <c r="J27" s="455"/>
      <c r="K27" s="27">
        <v>1.4999999999999999E-2</v>
      </c>
      <c r="L27" s="28" t="e">
        <f>ROUND($K$27*L17,2)</f>
        <v>#REF!</v>
      </c>
    </row>
    <row r="28" spans="2:13">
      <c r="B28" s="74" t="s">
        <v>10</v>
      </c>
      <c r="C28" s="455" t="s">
        <v>19</v>
      </c>
      <c r="D28" s="455"/>
      <c r="E28" s="455"/>
      <c r="F28" s="455"/>
      <c r="G28" s="455"/>
      <c r="H28" s="455"/>
      <c r="I28" s="455"/>
      <c r="J28" s="455"/>
      <c r="K28" s="27">
        <v>0.01</v>
      </c>
      <c r="L28" s="28" t="e">
        <f>ROUND(K28*$L$17,2)</f>
        <v>#REF!</v>
      </c>
    </row>
    <row r="29" spans="2:13">
      <c r="B29" s="74" t="s">
        <v>12</v>
      </c>
      <c r="C29" s="455" t="s">
        <v>20</v>
      </c>
      <c r="D29" s="455"/>
      <c r="E29" s="455"/>
      <c r="F29" s="455"/>
      <c r="G29" s="455"/>
      <c r="H29" s="455"/>
      <c r="I29" s="455"/>
      <c r="J29" s="455"/>
      <c r="K29" s="27">
        <v>2E-3</v>
      </c>
      <c r="L29" s="28" t="e">
        <f>ROUND(K29*$L$17,2)</f>
        <v>#REF!</v>
      </c>
    </row>
    <row r="30" spans="2:13">
      <c r="B30" s="74" t="s">
        <v>14</v>
      </c>
      <c r="C30" s="455" t="s">
        <v>21</v>
      </c>
      <c r="D30" s="455"/>
      <c r="E30" s="455"/>
      <c r="F30" s="455"/>
      <c r="G30" s="455"/>
      <c r="H30" s="455"/>
      <c r="I30" s="455"/>
      <c r="J30" s="455"/>
      <c r="K30" s="27">
        <v>2.5000000000000001E-2</v>
      </c>
      <c r="L30" s="28" t="e">
        <f>ROUND(K30*$L$17,2)</f>
        <v>#REF!</v>
      </c>
      <c r="M30" s="29"/>
    </row>
    <row r="31" spans="2:13">
      <c r="B31" s="74" t="s">
        <v>1</v>
      </c>
      <c r="C31" s="448" t="s">
        <v>153</v>
      </c>
      <c r="D31" s="450"/>
      <c r="E31" s="459">
        <v>0.08</v>
      </c>
      <c r="F31" s="460"/>
      <c r="G31" s="448" t="s">
        <v>152</v>
      </c>
      <c r="H31" s="449"/>
      <c r="I31" s="449"/>
      <c r="J31" s="450"/>
      <c r="K31" s="27">
        <f>E31*(1+(1/12)+(1/12/3))</f>
        <v>8.8888888888888878E-2</v>
      </c>
      <c r="L31" s="28" t="e">
        <f>ROUND(K31*($L$17+(1/3/12*L17)+(1/12*L17)),2)</f>
        <v>#REF!</v>
      </c>
      <c r="M31" s="1" t="s">
        <v>168</v>
      </c>
    </row>
    <row r="32" spans="2:13">
      <c r="B32" s="74" t="s">
        <v>15</v>
      </c>
      <c r="C32" s="455" t="s">
        <v>22</v>
      </c>
      <c r="D32" s="455"/>
      <c r="E32" s="455"/>
      <c r="F32" s="455"/>
      <c r="G32" s="73" t="s">
        <v>23</v>
      </c>
      <c r="H32" s="30">
        <v>0.03</v>
      </c>
      <c r="I32" s="73" t="s">
        <v>24</v>
      </c>
      <c r="J32" s="63">
        <v>1</v>
      </c>
      <c r="K32" s="31">
        <f>H32*J32</f>
        <v>0.03</v>
      </c>
      <c r="L32" s="28" t="e">
        <f>ROUND(K32*$L$17,2)</f>
        <v>#REF!</v>
      </c>
    </row>
    <row r="33" spans="2:20">
      <c r="B33" s="74" t="s">
        <v>16</v>
      </c>
      <c r="C33" s="455" t="s">
        <v>25</v>
      </c>
      <c r="D33" s="455"/>
      <c r="E33" s="455"/>
      <c r="F33" s="455"/>
      <c r="G33" s="455"/>
      <c r="H33" s="455"/>
      <c r="I33" s="455"/>
      <c r="J33" s="455"/>
      <c r="K33" s="27">
        <v>6.0000000000000001E-3</v>
      </c>
      <c r="L33" s="28" t="e">
        <f>ROUND(K33*$L$17,2)</f>
        <v>#REF!</v>
      </c>
      <c r="M33" s="2"/>
      <c r="N33" s="2"/>
      <c r="O33" s="2"/>
      <c r="P33" s="2"/>
      <c r="Q33" s="2"/>
      <c r="R33" s="2"/>
      <c r="S33" s="2"/>
      <c r="T33" s="2"/>
    </row>
    <row r="34" spans="2:20">
      <c r="B34" s="451" t="s">
        <v>169</v>
      </c>
      <c r="C34" s="452"/>
      <c r="D34" s="452"/>
      <c r="E34" s="452"/>
      <c r="F34" s="452"/>
      <c r="G34" s="452"/>
      <c r="H34" s="452"/>
      <c r="I34" s="452"/>
      <c r="J34" s="453"/>
      <c r="K34" s="34">
        <f>SUM(K26:K33)</f>
        <v>0.37688888888888894</v>
      </c>
      <c r="L34" s="12" t="e">
        <f>SUM(L26:L33)</f>
        <v>#REF!</v>
      </c>
      <c r="M34" s="2"/>
      <c r="N34" s="2"/>
      <c r="O34" s="2"/>
      <c r="P34" s="2"/>
      <c r="Q34" s="2"/>
      <c r="R34" s="2"/>
      <c r="S34" s="2"/>
      <c r="T34" s="2"/>
    </row>
    <row r="35" spans="2:20">
      <c r="B35" s="93"/>
      <c r="C35" s="94"/>
      <c r="D35" s="94"/>
      <c r="E35" s="94"/>
      <c r="F35" s="94"/>
      <c r="G35" s="94"/>
      <c r="H35" s="94"/>
      <c r="I35" s="94"/>
      <c r="J35" s="95"/>
      <c r="K35" s="34"/>
      <c r="L35" s="12"/>
      <c r="M35" s="2"/>
      <c r="N35" s="2"/>
      <c r="O35" s="2"/>
      <c r="P35" s="2"/>
      <c r="Q35" s="2"/>
      <c r="R35" s="2"/>
      <c r="S35" s="2"/>
      <c r="T35" s="2"/>
    </row>
    <row r="36" spans="2:20">
      <c r="B36" s="446" t="s">
        <v>170</v>
      </c>
      <c r="C36" s="447"/>
      <c r="D36" s="447"/>
      <c r="E36" s="447"/>
      <c r="F36" s="447"/>
      <c r="G36" s="447"/>
      <c r="H36" s="447"/>
      <c r="I36" s="447"/>
      <c r="J36" s="447"/>
      <c r="K36" s="92"/>
      <c r="L36" s="12" t="s">
        <v>166</v>
      </c>
    </row>
    <row r="37" spans="2:20">
      <c r="B37" s="69" t="s">
        <v>4</v>
      </c>
      <c r="C37" s="448" t="e">
        <f>#REF!</f>
        <v>#REF!</v>
      </c>
      <c r="D37" s="449"/>
      <c r="E37" s="449"/>
      <c r="F37" s="449"/>
      <c r="G37" s="449"/>
      <c r="H37" s="449"/>
      <c r="I37" s="449"/>
      <c r="J37" s="450"/>
      <c r="K37" s="80"/>
      <c r="L37" s="12" t="e">
        <f>#REF!</f>
        <v>#REF!</v>
      </c>
    </row>
    <row r="38" spans="2:20">
      <c r="B38" s="69" t="s">
        <v>6</v>
      </c>
      <c r="C38" s="448" t="e">
        <f>#REF!</f>
        <v>#REF!</v>
      </c>
      <c r="D38" s="449"/>
      <c r="E38" s="449"/>
      <c r="F38" s="449"/>
      <c r="G38" s="449"/>
      <c r="H38" s="449"/>
      <c r="I38" s="449"/>
      <c r="J38" s="450"/>
      <c r="K38" s="80"/>
      <c r="L38" s="12" t="e">
        <f>#REF!</f>
        <v>#REF!</v>
      </c>
    </row>
    <row r="39" spans="2:20">
      <c r="B39" s="69" t="s">
        <v>10</v>
      </c>
      <c r="C39" s="448" t="e">
        <f>#REF!</f>
        <v>#REF!</v>
      </c>
      <c r="D39" s="449"/>
      <c r="E39" s="449"/>
      <c r="F39" s="449"/>
      <c r="G39" s="449"/>
      <c r="H39" s="449"/>
      <c r="I39" s="449"/>
      <c r="J39" s="450"/>
      <c r="K39" s="80"/>
      <c r="L39" s="12" t="e">
        <f>#REF!</f>
        <v>#REF!</v>
      </c>
    </row>
    <row r="40" spans="2:20">
      <c r="B40" s="79" t="s">
        <v>12</v>
      </c>
      <c r="C40" s="448" t="e">
        <f>#REF!</f>
        <v>#REF!</v>
      </c>
      <c r="D40" s="449"/>
      <c r="E40" s="449"/>
      <c r="F40" s="449"/>
      <c r="G40" s="449"/>
      <c r="H40" s="449"/>
      <c r="I40" s="449"/>
      <c r="J40" s="450"/>
      <c r="K40" s="80"/>
      <c r="L40" s="12" t="e">
        <f>#REF!</f>
        <v>#REF!</v>
      </c>
    </row>
    <row r="41" spans="2:20">
      <c r="B41" s="79" t="s">
        <v>14</v>
      </c>
      <c r="C41" s="448" t="e">
        <f>#REF!</f>
        <v>#REF!</v>
      </c>
      <c r="D41" s="449"/>
      <c r="E41" s="449"/>
      <c r="F41" s="449"/>
      <c r="G41" s="449"/>
      <c r="H41" s="449"/>
      <c r="I41" s="449"/>
      <c r="J41" s="450"/>
      <c r="K41" s="81"/>
      <c r="L41" s="12" t="e">
        <f>#REF!</f>
        <v>#REF!</v>
      </c>
    </row>
    <row r="42" spans="2:20">
      <c r="B42" s="79" t="s">
        <v>1</v>
      </c>
      <c r="C42" s="448" t="e">
        <f>#REF!</f>
        <v>#REF!</v>
      </c>
      <c r="D42" s="449"/>
      <c r="E42" s="449"/>
      <c r="F42" s="449"/>
      <c r="G42" s="449"/>
      <c r="H42" s="449"/>
      <c r="I42" s="449"/>
      <c r="J42" s="450"/>
      <c r="K42" s="82"/>
      <c r="L42" s="12" t="e">
        <f>#REF!</f>
        <v>#REF!</v>
      </c>
    </row>
    <row r="43" spans="2:20">
      <c r="B43" s="79" t="s">
        <v>15</v>
      </c>
      <c r="C43" s="448" t="e">
        <f>#REF!</f>
        <v>#REF!</v>
      </c>
      <c r="D43" s="449"/>
      <c r="E43" s="449"/>
      <c r="F43" s="449"/>
      <c r="G43" s="449"/>
      <c r="H43" s="449"/>
      <c r="I43" s="449"/>
      <c r="J43" s="450"/>
      <c r="K43" s="82"/>
      <c r="L43" s="12" t="e">
        <f>#REF!</f>
        <v>#REF!</v>
      </c>
    </row>
    <row r="44" spans="2:20">
      <c r="B44" s="79" t="s">
        <v>16</v>
      </c>
      <c r="C44" s="458" t="s">
        <v>0</v>
      </c>
      <c r="D44" s="458"/>
      <c r="E44" s="458"/>
      <c r="F44" s="458"/>
      <c r="G44" s="458"/>
      <c r="H44" s="458"/>
      <c r="I44" s="458"/>
      <c r="J44" s="458"/>
      <c r="K44" s="458"/>
      <c r="L44" s="19">
        <v>0</v>
      </c>
    </row>
    <row r="45" spans="2:20">
      <c r="B45" s="451" t="s">
        <v>172</v>
      </c>
      <c r="C45" s="452"/>
      <c r="D45" s="452"/>
      <c r="E45" s="452"/>
      <c r="F45" s="452"/>
      <c r="G45" s="452"/>
      <c r="H45" s="452"/>
      <c r="I45" s="452"/>
      <c r="J45" s="453"/>
      <c r="K45" s="34"/>
      <c r="L45" s="12" t="e">
        <f>SUM(L37:L44)</f>
        <v>#REF!</v>
      </c>
    </row>
    <row r="46" spans="2:20">
      <c r="B46" s="93"/>
      <c r="C46" s="94"/>
      <c r="D46" s="94"/>
      <c r="E46" s="94"/>
      <c r="F46" s="94"/>
      <c r="G46" s="94"/>
      <c r="H46" s="94"/>
      <c r="I46" s="94"/>
      <c r="J46" s="95"/>
      <c r="K46" s="34"/>
      <c r="L46" s="12"/>
    </row>
    <row r="47" spans="2:20">
      <c r="B47" s="473" t="s">
        <v>173</v>
      </c>
      <c r="C47" s="473"/>
      <c r="D47" s="473"/>
      <c r="E47" s="473"/>
      <c r="F47" s="473"/>
      <c r="G47" s="473"/>
      <c r="H47" s="473"/>
      <c r="I47" s="473"/>
      <c r="J47" s="473"/>
      <c r="K47" s="473"/>
      <c r="L47" s="7" t="str">
        <f>L5</f>
        <v>SERVENTE</v>
      </c>
    </row>
    <row r="48" spans="2:20">
      <c r="B48" s="90" t="s">
        <v>174</v>
      </c>
      <c r="C48" s="448" t="s">
        <v>177</v>
      </c>
      <c r="D48" s="449"/>
      <c r="E48" s="449"/>
      <c r="F48" s="449"/>
      <c r="G48" s="449"/>
      <c r="H48" s="449"/>
      <c r="I48" s="449"/>
      <c r="J48" s="450"/>
      <c r="K48" s="80"/>
      <c r="L48" s="12" t="e">
        <f>L23</f>
        <v>#REF!</v>
      </c>
    </row>
    <row r="49" spans="2:12">
      <c r="B49" s="90" t="s">
        <v>175</v>
      </c>
      <c r="C49" s="448" t="s">
        <v>178</v>
      </c>
      <c r="D49" s="449"/>
      <c r="E49" s="449"/>
      <c r="F49" s="449"/>
      <c r="G49" s="449"/>
      <c r="H49" s="449"/>
      <c r="I49" s="449"/>
      <c r="J49" s="450"/>
      <c r="K49" s="80"/>
      <c r="L49" s="12" t="e">
        <f>L34</f>
        <v>#REF!</v>
      </c>
    </row>
    <row r="50" spans="2:12">
      <c r="B50" s="90" t="s">
        <v>176</v>
      </c>
      <c r="C50" s="448" t="s">
        <v>180</v>
      </c>
      <c r="D50" s="449"/>
      <c r="E50" s="449"/>
      <c r="F50" s="449"/>
      <c r="G50" s="449"/>
      <c r="H50" s="449"/>
      <c r="I50" s="449"/>
      <c r="J50" s="450"/>
      <c r="K50" s="80"/>
      <c r="L50" s="12" t="e">
        <f>L45</f>
        <v>#REF!</v>
      </c>
    </row>
    <row r="51" spans="2:12">
      <c r="B51" s="474" t="s">
        <v>179</v>
      </c>
      <c r="C51" s="475"/>
      <c r="D51" s="475"/>
      <c r="E51" s="475"/>
      <c r="F51" s="475"/>
      <c r="G51" s="475"/>
      <c r="H51" s="475"/>
      <c r="I51" s="475"/>
      <c r="J51" s="476"/>
      <c r="K51" s="101"/>
      <c r="L51" s="102" t="e">
        <f>SUM(L48:L50)</f>
        <v>#REF!</v>
      </c>
    </row>
    <row r="52" spans="2:12">
      <c r="B52" s="461"/>
      <c r="C52" s="462"/>
      <c r="D52" s="462"/>
      <c r="E52" s="462"/>
      <c r="F52" s="462"/>
      <c r="G52" s="462"/>
      <c r="H52" s="462"/>
      <c r="I52" s="462"/>
      <c r="J52" s="462"/>
      <c r="K52" s="462"/>
      <c r="L52" s="462"/>
    </row>
    <row r="53" spans="2:12">
      <c r="B53" s="454" t="s">
        <v>171</v>
      </c>
      <c r="C53" s="454"/>
      <c r="D53" s="454"/>
      <c r="E53" s="454"/>
      <c r="F53" s="454"/>
      <c r="G53" s="454"/>
      <c r="H53" s="454"/>
      <c r="I53" s="454"/>
      <c r="J53" s="454"/>
      <c r="K53" s="97" t="s">
        <v>9</v>
      </c>
      <c r="L53" s="98" t="s">
        <v>166</v>
      </c>
    </row>
    <row r="54" spans="2:12">
      <c r="B54" s="69" t="s">
        <v>4</v>
      </c>
      <c r="C54" s="455" t="s">
        <v>26</v>
      </c>
      <c r="D54" s="455"/>
      <c r="E54" s="455"/>
      <c r="F54" s="455"/>
      <c r="G54" s="455"/>
      <c r="H54" s="455"/>
      <c r="I54" s="38">
        <v>30</v>
      </c>
      <c r="J54" s="39">
        <v>0.05</v>
      </c>
      <c r="K54" s="34">
        <f>I54/30/12*J54</f>
        <v>4.1666666666666666E-3</v>
      </c>
      <c r="L54" s="12" t="e">
        <f t="shared" ref="L54:L59" si="0">ROUND(K54*$L$17,2)</f>
        <v>#REF!</v>
      </c>
    </row>
    <row r="55" spans="2:12">
      <c r="B55" s="69" t="s">
        <v>6</v>
      </c>
      <c r="C55" s="455" t="s">
        <v>27</v>
      </c>
      <c r="D55" s="455"/>
      <c r="E55" s="455"/>
      <c r="F55" s="455"/>
      <c r="G55" s="455"/>
      <c r="H55" s="455"/>
      <c r="I55" s="455"/>
      <c r="J55" s="455"/>
      <c r="K55" s="34">
        <f>K31*K54</f>
        <v>3.703703703703703E-4</v>
      </c>
      <c r="L55" s="12" t="e">
        <f t="shared" si="0"/>
        <v>#REF!</v>
      </c>
    </row>
    <row r="56" spans="2:12">
      <c r="B56" s="90" t="s">
        <v>10</v>
      </c>
      <c r="C56" s="455" t="s">
        <v>182</v>
      </c>
      <c r="D56" s="455"/>
      <c r="E56" s="455"/>
      <c r="F56" s="455"/>
      <c r="G56" s="455"/>
      <c r="H56" s="455"/>
      <c r="I56" s="455"/>
      <c r="J56" s="455"/>
      <c r="K56" s="34">
        <f>0.5*K55</f>
        <v>1.8518518518518515E-4</v>
      </c>
      <c r="L56" s="12" t="e">
        <f t="shared" si="0"/>
        <v>#REF!</v>
      </c>
    </row>
    <row r="57" spans="2:12">
      <c r="B57" s="90" t="s">
        <v>12</v>
      </c>
      <c r="C57" s="455" t="s">
        <v>184</v>
      </c>
      <c r="D57" s="455"/>
      <c r="E57" s="455"/>
      <c r="F57" s="455"/>
      <c r="G57" s="455"/>
      <c r="H57" s="455"/>
      <c r="I57" s="455"/>
      <c r="J57" s="455"/>
      <c r="K57" s="34">
        <v>4.0000000000000002E-4</v>
      </c>
      <c r="L57" s="12" t="e">
        <f t="shared" si="0"/>
        <v>#REF!</v>
      </c>
    </row>
    <row r="58" spans="2:12">
      <c r="B58" s="90" t="s">
        <v>14</v>
      </c>
      <c r="C58" s="455" t="s">
        <v>183</v>
      </c>
      <c r="D58" s="455"/>
      <c r="E58" s="455"/>
      <c r="F58" s="455"/>
      <c r="G58" s="455"/>
      <c r="H58" s="455"/>
      <c r="I58" s="455"/>
      <c r="J58" s="455"/>
      <c r="K58" s="34">
        <f>K34*K57</f>
        <v>1.5075555555555558E-4</v>
      </c>
      <c r="L58" s="12" t="e">
        <f t="shared" si="0"/>
        <v>#REF!</v>
      </c>
    </row>
    <row r="59" spans="2:12">
      <c r="B59" s="90" t="s">
        <v>1</v>
      </c>
      <c r="C59" s="455" t="s">
        <v>185</v>
      </c>
      <c r="D59" s="455"/>
      <c r="E59" s="455"/>
      <c r="F59" s="455"/>
      <c r="G59" s="455"/>
      <c r="H59" s="455"/>
      <c r="I59" s="455"/>
      <c r="J59" s="455"/>
      <c r="K59" s="96">
        <f>0.5*0.08*K57</f>
        <v>1.6000000000000003E-5</v>
      </c>
      <c r="L59" s="12" t="e">
        <f t="shared" si="0"/>
        <v>#REF!</v>
      </c>
    </row>
    <row r="60" spans="2:12" ht="15" customHeight="1">
      <c r="B60" s="474" t="s">
        <v>181</v>
      </c>
      <c r="C60" s="475"/>
      <c r="D60" s="475"/>
      <c r="E60" s="475"/>
      <c r="F60" s="475"/>
      <c r="G60" s="475"/>
      <c r="H60" s="475"/>
      <c r="I60" s="475"/>
      <c r="J60" s="476"/>
      <c r="K60" s="101"/>
      <c r="L60" s="102" t="e">
        <f>SUM(L54:L59)</f>
        <v>#REF!</v>
      </c>
    </row>
    <row r="61" spans="2:12">
      <c r="B61" s="20"/>
      <c r="C61" s="16"/>
      <c r="D61" s="16"/>
      <c r="E61" s="20"/>
      <c r="F61" s="20"/>
      <c r="G61" s="20"/>
      <c r="H61" s="20"/>
      <c r="I61" s="21"/>
      <c r="J61" s="22"/>
      <c r="K61" s="20"/>
    </row>
    <row r="62" spans="2:12">
      <c r="B62" s="454" t="s">
        <v>186</v>
      </c>
      <c r="C62" s="454"/>
      <c r="D62" s="454"/>
      <c r="E62" s="454"/>
      <c r="F62" s="454"/>
      <c r="G62" s="454"/>
      <c r="H62" s="454"/>
      <c r="I62" s="454"/>
      <c r="J62" s="454"/>
      <c r="K62" s="97"/>
      <c r="L62" s="98"/>
    </row>
    <row r="63" spans="2:12">
      <c r="B63" s="446" t="s">
        <v>191</v>
      </c>
      <c r="C63" s="447"/>
      <c r="D63" s="447"/>
      <c r="E63" s="447"/>
      <c r="F63" s="447"/>
      <c r="G63" s="447"/>
      <c r="H63" s="447"/>
      <c r="I63" s="447"/>
      <c r="J63" s="447"/>
      <c r="K63" s="92" t="s">
        <v>9</v>
      </c>
      <c r="L63" s="12" t="s">
        <v>166</v>
      </c>
    </row>
    <row r="64" spans="2:12">
      <c r="B64" s="69" t="s">
        <v>4</v>
      </c>
      <c r="C64" s="421" t="s">
        <v>187</v>
      </c>
      <c r="D64" s="421"/>
      <c r="E64" s="421"/>
      <c r="F64" s="421"/>
      <c r="G64" s="421"/>
      <c r="H64" s="421"/>
      <c r="I64" s="421"/>
      <c r="J64" s="421"/>
      <c r="K64" s="41">
        <f>1/12</f>
        <v>8.3333333333333329E-2</v>
      </c>
      <c r="L64" s="12" t="e">
        <f t="shared" ref="L64:L69" si="1">K64*$L$17</f>
        <v>#REF!</v>
      </c>
    </row>
    <row r="65" spans="2:13">
      <c r="B65" s="69" t="s">
        <v>6</v>
      </c>
      <c r="C65" s="455" t="s">
        <v>188</v>
      </c>
      <c r="D65" s="455"/>
      <c r="E65" s="455"/>
      <c r="F65" s="455"/>
      <c r="G65" s="456" t="s">
        <v>29</v>
      </c>
      <c r="H65" s="456"/>
      <c r="I65" s="456"/>
      <c r="J65" s="42">
        <v>3</v>
      </c>
      <c r="K65" s="41">
        <f>J65/30/12</f>
        <v>8.3333333333333332E-3</v>
      </c>
      <c r="L65" s="12" t="e">
        <f t="shared" si="1"/>
        <v>#REF!</v>
      </c>
      <c r="M65" s="1" t="s">
        <v>168</v>
      </c>
    </row>
    <row r="66" spans="2:13">
      <c r="B66" s="69" t="s">
        <v>10</v>
      </c>
      <c r="C66" s="455" t="s">
        <v>30</v>
      </c>
      <c r="D66" s="455"/>
      <c r="E66" s="455"/>
      <c r="F66" s="455"/>
      <c r="G66" s="456" t="s">
        <v>28</v>
      </c>
      <c r="H66" s="456"/>
      <c r="I66" s="36">
        <v>1.4999999999999999E-2</v>
      </c>
      <c r="J66" s="43">
        <v>5</v>
      </c>
      <c r="K66" s="41">
        <f>J66/30/12*I66</f>
        <v>2.0833333333333332E-4</v>
      </c>
      <c r="L66" s="12" t="e">
        <f t="shared" si="1"/>
        <v>#REF!</v>
      </c>
    </row>
    <row r="67" spans="2:13">
      <c r="B67" s="69" t="s">
        <v>12</v>
      </c>
      <c r="C67" s="456" t="s">
        <v>189</v>
      </c>
      <c r="D67" s="456"/>
      <c r="E67" s="456"/>
      <c r="F67" s="42"/>
      <c r="G67" s="456" t="s">
        <v>28</v>
      </c>
      <c r="H67" s="456"/>
      <c r="I67" s="36">
        <v>7.7999999999999996E-3</v>
      </c>
      <c r="J67" s="44">
        <v>15</v>
      </c>
      <c r="K67" s="41">
        <f>J67/30/12*I67</f>
        <v>3.2499999999999999E-4</v>
      </c>
      <c r="L67" s="12" t="e">
        <f t="shared" si="1"/>
        <v>#REF!</v>
      </c>
    </row>
    <row r="68" spans="2:13">
      <c r="B68" s="69" t="s">
        <v>14</v>
      </c>
      <c r="C68" s="456" t="s">
        <v>190</v>
      </c>
      <c r="D68" s="456"/>
      <c r="E68" s="456"/>
      <c r="F68" s="42"/>
      <c r="G68" s="457"/>
      <c r="H68" s="456"/>
      <c r="I68" s="36"/>
      <c r="J68" s="44"/>
      <c r="K68" s="41">
        <v>6.1000000000000004E-3</v>
      </c>
      <c r="L68" s="12" t="e">
        <f t="shared" si="1"/>
        <v>#REF!</v>
      </c>
      <c r="M68" s="64" t="s">
        <v>168</v>
      </c>
    </row>
    <row r="69" spans="2:13">
      <c r="B69" s="69" t="s">
        <v>1</v>
      </c>
      <c r="C69" s="458" t="s">
        <v>0</v>
      </c>
      <c r="D69" s="458"/>
      <c r="E69" s="458" t="s">
        <v>31</v>
      </c>
      <c r="F69" s="458"/>
      <c r="G69" s="458"/>
      <c r="H69" s="458"/>
      <c r="I69" s="458"/>
      <c r="J69" s="458"/>
      <c r="K69" s="45"/>
      <c r="L69" s="12" t="e">
        <f t="shared" si="1"/>
        <v>#REF!</v>
      </c>
      <c r="M69" s="64"/>
    </row>
    <row r="70" spans="2:13">
      <c r="B70" s="451" t="s">
        <v>192</v>
      </c>
      <c r="C70" s="452"/>
      <c r="D70" s="452"/>
      <c r="E70" s="452"/>
      <c r="F70" s="452"/>
      <c r="G70" s="452"/>
      <c r="H70" s="452"/>
      <c r="I70" s="452"/>
      <c r="J70" s="453"/>
      <c r="K70" s="46"/>
      <c r="L70" s="12" t="e">
        <f>SUM(L64:L69)</f>
        <v>#REF!</v>
      </c>
    </row>
    <row r="71" spans="2:13">
      <c r="B71" s="93"/>
      <c r="C71" s="94"/>
      <c r="D71" s="94"/>
      <c r="E71" s="94"/>
      <c r="F71" s="94"/>
      <c r="G71" s="94"/>
      <c r="H71" s="94"/>
      <c r="I71" s="94"/>
      <c r="J71" s="95"/>
      <c r="K71" s="34"/>
      <c r="L71" s="12"/>
    </row>
    <row r="72" spans="2:13">
      <c r="B72" s="446" t="s">
        <v>193</v>
      </c>
      <c r="C72" s="447"/>
      <c r="D72" s="447"/>
      <c r="E72" s="447"/>
      <c r="F72" s="447"/>
      <c r="G72" s="447"/>
      <c r="H72" s="447"/>
      <c r="I72" s="447"/>
      <c r="J72" s="447"/>
      <c r="K72" s="92" t="s">
        <v>9</v>
      </c>
      <c r="L72" s="12" t="s">
        <v>166</v>
      </c>
    </row>
    <row r="73" spans="2:13">
      <c r="B73" s="90" t="s">
        <v>4</v>
      </c>
      <c r="C73" s="421" t="s">
        <v>194</v>
      </c>
      <c r="D73" s="421"/>
      <c r="E73" s="421"/>
      <c r="F73" s="421"/>
      <c r="G73" s="421"/>
      <c r="H73" s="421"/>
      <c r="I73" s="421"/>
      <c r="J73" s="421"/>
      <c r="K73" s="41">
        <v>0</v>
      </c>
      <c r="L73" s="12" t="e">
        <f>K73*$L$17</f>
        <v>#REF!</v>
      </c>
    </row>
    <row r="74" spans="2:13">
      <c r="B74" s="451" t="s">
        <v>195</v>
      </c>
      <c r="C74" s="452"/>
      <c r="D74" s="452"/>
      <c r="E74" s="452"/>
      <c r="F74" s="452"/>
      <c r="G74" s="452"/>
      <c r="H74" s="452"/>
      <c r="I74" s="452"/>
      <c r="J74" s="453"/>
      <c r="K74" s="46"/>
      <c r="L74" s="12" t="e">
        <f>SUM(L73:L73)</f>
        <v>#REF!</v>
      </c>
    </row>
    <row r="75" spans="2:13">
      <c r="B75" s="93"/>
      <c r="C75" s="94"/>
      <c r="D75" s="94"/>
      <c r="E75" s="94"/>
      <c r="F75" s="94"/>
      <c r="G75" s="94"/>
      <c r="H75" s="94"/>
      <c r="I75" s="94"/>
      <c r="J75" s="94"/>
      <c r="K75" s="99"/>
      <c r="L75" s="12"/>
    </row>
    <row r="76" spans="2:13">
      <c r="B76" s="473" t="s">
        <v>196</v>
      </c>
      <c r="C76" s="473"/>
      <c r="D76" s="473"/>
      <c r="E76" s="473"/>
      <c r="F76" s="473"/>
      <c r="G76" s="473"/>
      <c r="H76" s="473"/>
      <c r="I76" s="473"/>
      <c r="J76" s="473"/>
      <c r="K76" s="473"/>
      <c r="L76" s="7" t="e">
        <f>L34</f>
        <v>#REF!</v>
      </c>
    </row>
    <row r="77" spans="2:13">
      <c r="B77" s="90" t="s">
        <v>197</v>
      </c>
      <c r="C77" s="448" t="s">
        <v>188</v>
      </c>
      <c r="D77" s="449"/>
      <c r="E77" s="449"/>
      <c r="F77" s="449"/>
      <c r="G77" s="449"/>
      <c r="H77" s="449"/>
      <c r="I77" s="449"/>
      <c r="J77" s="450"/>
      <c r="K77" s="80"/>
      <c r="L77" s="12" t="e">
        <f>L70</f>
        <v>#REF!</v>
      </c>
    </row>
    <row r="78" spans="2:13">
      <c r="B78" s="90" t="s">
        <v>198</v>
      </c>
      <c r="C78" s="448" t="s">
        <v>199</v>
      </c>
      <c r="D78" s="449"/>
      <c r="E78" s="449"/>
      <c r="F78" s="449"/>
      <c r="G78" s="449"/>
      <c r="H78" s="449"/>
      <c r="I78" s="449"/>
      <c r="J78" s="450"/>
      <c r="K78" s="80"/>
      <c r="L78" s="12" t="e">
        <f>L74</f>
        <v>#REF!</v>
      </c>
    </row>
    <row r="79" spans="2:13">
      <c r="B79" s="474" t="s">
        <v>200</v>
      </c>
      <c r="C79" s="475"/>
      <c r="D79" s="475"/>
      <c r="E79" s="475"/>
      <c r="F79" s="475"/>
      <c r="G79" s="475"/>
      <c r="H79" s="475"/>
      <c r="I79" s="475"/>
      <c r="J79" s="476"/>
      <c r="K79" s="101"/>
      <c r="L79" s="102" t="e">
        <f>SUM(L77:L78)</f>
        <v>#REF!</v>
      </c>
    </row>
    <row r="80" spans="2:13">
      <c r="B80" s="461"/>
      <c r="C80" s="462"/>
      <c r="D80" s="462"/>
      <c r="E80" s="462"/>
      <c r="F80" s="462"/>
      <c r="G80" s="462"/>
      <c r="H80" s="462"/>
      <c r="I80" s="462"/>
      <c r="J80" s="462"/>
      <c r="K80" s="462"/>
      <c r="L80" s="462"/>
    </row>
    <row r="81" spans="2:13">
      <c r="B81" s="454" t="s">
        <v>201</v>
      </c>
      <c r="C81" s="454"/>
      <c r="D81" s="454"/>
      <c r="E81" s="454"/>
      <c r="F81" s="454"/>
      <c r="G81" s="454"/>
      <c r="H81" s="454"/>
      <c r="I81" s="454"/>
      <c r="J81" s="454"/>
      <c r="K81" s="97"/>
      <c r="L81" s="98"/>
      <c r="M81" s="23"/>
    </row>
    <row r="82" spans="2:13">
      <c r="B82" s="69" t="s">
        <v>4</v>
      </c>
      <c r="C82" s="470" t="s">
        <v>54</v>
      </c>
      <c r="D82" s="470"/>
      <c r="E82" s="470"/>
      <c r="F82" s="470"/>
      <c r="G82" s="470"/>
      <c r="H82" s="470"/>
      <c r="I82" s="470"/>
      <c r="J82" s="470"/>
      <c r="K82" s="470"/>
      <c r="L82" s="12" t="e">
        <f>#REF!</f>
        <v>#REF!</v>
      </c>
    </row>
    <row r="83" spans="2:13">
      <c r="B83" s="69" t="s">
        <v>6</v>
      </c>
      <c r="C83" s="408" t="s">
        <v>203</v>
      </c>
      <c r="D83" s="409"/>
      <c r="E83" s="410" t="s">
        <v>55</v>
      </c>
      <c r="F83" s="411"/>
      <c r="G83" s="411"/>
      <c r="H83" s="411"/>
      <c r="I83" s="412"/>
      <c r="J83" s="471">
        <v>0.12</v>
      </c>
      <c r="K83" s="472"/>
      <c r="L83" s="19" t="e">
        <f>(L17+L51+L60+L79+L82)/(1-J83)*J83</f>
        <v>#REF!</v>
      </c>
      <c r="M83" s="24"/>
    </row>
    <row r="84" spans="2:13">
      <c r="B84" s="91" t="s">
        <v>210</v>
      </c>
      <c r="C84" s="408" t="s">
        <v>211</v>
      </c>
      <c r="D84" s="409"/>
      <c r="E84" s="410"/>
      <c r="F84" s="411"/>
      <c r="G84" s="411"/>
      <c r="H84" s="411"/>
      <c r="I84" s="412"/>
      <c r="J84" s="413">
        <f>H95+H96</f>
        <v>9.2499999999999999E-2</v>
      </c>
      <c r="K84" s="414"/>
      <c r="L84" s="19" t="e">
        <f>-J84*L83</f>
        <v>#REF!</v>
      </c>
      <c r="M84" s="24"/>
    </row>
    <row r="85" spans="2:13">
      <c r="B85" s="90" t="s">
        <v>10</v>
      </c>
      <c r="C85" s="83" t="s">
        <v>202</v>
      </c>
      <c r="D85" s="84"/>
      <c r="E85" s="85"/>
      <c r="F85" s="86"/>
      <c r="G85" s="86"/>
      <c r="H85" s="86"/>
      <c r="I85" s="87"/>
      <c r="J85" s="88"/>
      <c r="K85" s="89"/>
      <c r="L85" s="19"/>
      <c r="M85" s="24"/>
    </row>
    <row r="86" spans="2:13">
      <c r="B86" s="69" t="s">
        <v>204</v>
      </c>
      <c r="C86" s="458" t="s">
        <v>0</v>
      </c>
      <c r="D86" s="458"/>
      <c r="E86" s="458"/>
      <c r="F86" s="458"/>
      <c r="G86" s="458"/>
      <c r="H86" s="458"/>
      <c r="I86" s="458"/>
      <c r="J86" s="458"/>
      <c r="K86" s="458"/>
      <c r="L86" s="19">
        <v>0</v>
      </c>
    </row>
    <row r="87" spans="2:13">
      <c r="B87" s="474" t="s">
        <v>207</v>
      </c>
      <c r="C87" s="475"/>
      <c r="D87" s="475"/>
      <c r="E87" s="475"/>
      <c r="F87" s="475"/>
      <c r="G87" s="475"/>
      <c r="H87" s="475"/>
      <c r="I87" s="475"/>
      <c r="J87" s="476"/>
      <c r="K87" s="101"/>
      <c r="L87" s="102" t="e">
        <f>SUM(L82:L86)</f>
        <v>#REF!</v>
      </c>
    </row>
    <row r="88" spans="2:13">
      <c r="B88" s="25"/>
      <c r="C88" s="25"/>
      <c r="D88" s="25"/>
      <c r="E88" s="25"/>
      <c r="F88" s="25"/>
      <c r="G88" s="25"/>
      <c r="H88" s="25"/>
      <c r="I88" s="71"/>
      <c r="J88" s="25"/>
      <c r="K88" s="25"/>
    </row>
    <row r="89" spans="2:13">
      <c r="B89" s="16"/>
      <c r="C89" s="16"/>
      <c r="D89" s="16"/>
      <c r="E89" s="16"/>
      <c r="F89" s="16"/>
      <c r="G89" s="16"/>
      <c r="H89" s="48"/>
      <c r="I89" s="48"/>
      <c r="J89" s="48"/>
      <c r="K89" s="48"/>
      <c r="L89" s="49"/>
    </row>
    <row r="90" spans="2:13">
      <c r="B90" s="454" t="s">
        <v>205</v>
      </c>
      <c r="C90" s="454"/>
      <c r="D90" s="454"/>
      <c r="E90" s="454"/>
      <c r="F90" s="454"/>
      <c r="G90" s="454"/>
      <c r="H90" s="454"/>
      <c r="I90" s="454"/>
      <c r="J90" s="454"/>
      <c r="K90" s="97"/>
      <c r="L90" s="98" t="str">
        <f>L5</f>
        <v>SERVENTE</v>
      </c>
    </row>
    <row r="91" spans="2:13">
      <c r="B91" s="69" t="s">
        <v>4</v>
      </c>
      <c r="C91" s="421" t="s">
        <v>206</v>
      </c>
      <c r="D91" s="421"/>
      <c r="E91" s="421"/>
      <c r="F91" s="421"/>
      <c r="G91" s="421"/>
      <c r="H91" s="421"/>
      <c r="I91" s="421"/>
      <c r="J91" s="421"/>
      <c r="K91" s="65">
        <v>0.05</v>
      </c>
      <c r="L91" s="28" t="e">
        <f>K91*L110</f>
        <v>#REF!</v>
      </c>
      <c r="M91" s="50"/>
    </row>
    <row r="92" spans="2:13">
      <c r="B92" s="69" t="s">
        <v>6</v>
      </c>
      <c r="C92" s="421" t="s">
        <v>32</v>
      </c>
      <c r="D92" s="421"/>
      <c r="E92" s="421"/>
      <c r="F92" s="421"/>
      <c r="G92" s="421"/>
      <c r="H92" s="421"/>
      <c r="I92" s="421"/>
      <c r="J92" s="421"/>
      <c r="K92" s="65">
        <v>6.8099999999999994E-2</v>
      </c>
      <c r="L92" s="28" t="e">
        <f>K92*L110</f>
        <v>#REF!</v>
      </c>
      <c r="M92" s="50"/>
    </row>
    <row r="93" spans="2:13">
      <c r="B93" s="427" t="s">
        <v>10</v>
      </c>
      <c r="C93" s="435" t="s">
        <v>33</v>
      </c>
      <c r="D93" s="436"/>
      <c r="E93" s="436"/>
      <c r="F93" s="436"/>
      <c r="G93" s="436"/>
      <c r="H93" s="436"/>
      <c r="I93" s="437"/>
      <c r="J93" s="438" t="e">
        <f>L110+L91+L92</f>
        <v>#REF!</v>
      </c>
      <c r="K93" s="439"/>
      <c r="L93" s="47"/>
    </row>
    <row r="94" spans="2:13">
      <c r="B94" s="427"/>
      <c r="C94" s="440" t="s">
        <v>34</v>
      </c>
      <c r="D94" s="441"/>
      <c r="E94" s="441"/>
      <c r="F94" s="442"/>
      <c r="G94" s="70"/>
      <c r="H94" s="70" t="s">
        <v>35</v>
      </c>
      <c r="I94" s="70"/>
      <c r="J94" s="443"/>
      <c r="K94" s="444"/>
      <c r="L94" s="47"/>
    </row>
    <row r="95" spans="2:13">
      <c r="B95" s="427"/>
      <c r="C95" s="434" t="s">
        <v>36</v>
      </c>
      <c r="D95" s="434"/>
      <c r="E95" s="434"/>
      <c r="F95" s="434"/>
      <c r="G95" s="68" t="s">
        <v>37</v>
      </c>
      <c r="H95" s="35">
        <v>1.6500000000000001E-2</v>
      </c>
      <c r="I95" s="445">
        <f>SUM(H95:H100)</f>
        <v>0.13250000000000001</v>
      </c>
      <c r="J95" s="432" t="e">
        <f t="shared" ref="J95:J100" si="2">ROUND($L$112*H95,2)</f>
        <v>#REF!</v>
      </c>
      <c r="K95" s="433"/>
      <c r="L95" s="429" t="e">
        <f>SUM(J95:K100)</f>
        <v>#REF!</v>
      </c>
    </row>
    <row r="96" spans="2:13">
      <c r="B96" s="427"/>
      <c r="C96" s="434"/>
      <c r="D96" s="434"/>
      <c r="E96" s="434"/>
      <c r="F96" s="434"/>
      <c r="G96" s="68" t="s">
        <v>38</v>
      </c>
      <c r="H96" s="35">
        <v>7.5999999999999998E-2</v>
      </c>
      <c r="I96" s="445"/>
      <c r="J96" s="432" t="e">
        <f t="shared" si="2"/>
        <v>#REF!</v>
      </c>
      <c r="K96" s="433"/>
      <c r="L96" s="430"/>
    </row>
    <row r="97" spans="2:12">
      <c r="B97" s="427"/>
      <c r="C97" s="434"/>
      <c r="D97" s="434"/>
      <c r="E97" s="434"/>
      <c r="F97" s="434"/>
      <c r="G97" s="68" t="s">
        <v>39</v>
      </c>
      <c r="H97" s="35">
        <v>0</v>
      </c>
      <c r="I97" s="445"/>
      <c r="J97" s="432" t="e">
        <f t="shared" si="2"/>
        <v>#REF!</v>
      </c>
      <c r="K97" s="433"/>
      <c r="L97" s="430"/>
    </row>
    <row r="98" spans="2:12">
      <c r="B98" s="427"/>
      <c r="C98" s="434" t="s">
        <v>40</v>
      </c>
      <c r="D98" s="434"/>
      <c r="E98" s="434"/>
      <c r="F98" s="434"/>
      <c r="G98" s="67" t="s">
        <v>41</v>
      </c>
      <c r="H98" s="35">
        <v>0.04</v>
      </c>
      <c r="I98" s="445"/>
      <c r="J98" s="432" t="e">
        <f t="shared" si="2"/>
        <v>#REF!</v>
      </c>
      <c r="K98" s="433"/>
      <c r="L98" s="430"/>
    </row>
    <row r="99" spans="2:12">
      <c r="B99" s="427"/>
      <c r="C99" s="434"/>
      <c r="D99" s="434"/>
      <c r="E99" s="434"/>
      <c r="F99" s="434"/>
      <c r="G99" s="67" t="s">
        <v>39</v>
      </c>
      <c r="H99" s="35">
        <v>0</v>
      </c>
      <c r="I99" s="445"/>
      <c r="J99" s="432" t="e">
        <f t="shared" si="2"/>
        <v>#REF!</v>
      </c>
      <c r="K99" s="433"/>
      <c r="L99" s="430"/>
    </row>
    <row r="100" spans="2:12">
      <c r="B100" s="427"/>
      <c r="C100" s="434" t="s">
        <v>42</v>
      </c>
      <c r="D100" s="434"/>
      <c r="E100" s="434"/>
      <c r="F100" s="434"/>
      <c r="G100" s="67"/>
      <c r="H100" s="35">
        <v>0</v>
      </c>
      <c r="I100" s="445"/>
      <c r="J100" s="432" t="e">
        <f t="shared" si="2"/>
        <v>#REF!</v>
      </c>
      <c r="K100" s="433"/>
      <c r="L100" s="431"/>
    </row>
    <row r="101" spans="2:12">
      <c r="B101" s="427" t="s">
        <v>43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60" t="e">
        <f>L95+L92+L91</f>
        <v>#REF!</v>
      </c>
    </row>
    <row r="102" spans="2:12">
      <c r="B102" s="51"/>
      <c r="C102" s="51"/>
      <c r="D102" s="51"/>
      <c r="E102" s="51"/>
      <c r="F102" s="51"/>
      <c r="G102" s="51"/>
      <c r="H102" s="51"/>
      <c r="I102" s="52"/>
      <c r="J102" s="53"/>
      <c r="K102" s="51"/>
    </row>
    <row r="103" spans="2:12">
      <c r="B103" s="428" t="s">
        <v>44</v>
      </c>
      <c r="C103" s="428"/>
      <c r="D103" s="428"/>
      <c r="E103" s="428"/>
      <c r="F103" s="428"/>
      <c r="G103" s="428"/>
      <c r="H103" s="428"/>
      <c r="I103" s="428"/>
      <c r="J103" s="428"/>
      <c r="K103" s="428"/>
      <c r="L103" s="428"/>
    </row>
    <row r="104" spans="2:12">
      <c r="B104" s="422" t="s">
        <v>45</v>
      </c>
      <c r="C104" s="422"/>
      <c r="D104" s="422"/>
      <c r="E104" s="422"/>
      <c r="F104" s="422"/>
      <c r="G104" s="422"/>
      <c r="H104" s="422"/>
      <c r="I104" s="422"/>
      <c r="J104" s="422"/>
      <c r="K104" s="422"/>
      <c r="L104" s="7" t="str">
        <f>L5</f>
        <v>SERVENTE</v>
      </c>
    </row>
    <row r="105" spans="2:12">
      <c r="B105" s="69" t="s">
        <v>4</v>
      </c>
      <c r="C105" s="421" t="str">
        <f>B6</f>
        <v xml:space="preserve">MÓDULO 01 – Composição da Remuneração </v>
      </c>
      <c r="D105" s="421"/>
      <c r="E105" s="421"/>
      <c r="F105" s="421"/>
      <c r="G105" s="421"/>
      <c r="H105" s="421"/>
      <c r="I105" s="421"/>
      <c r="J105" s="421"/>
      <c r="K105" s="421"/>
      <c r="L105" s="54" t="e">
        <f>L17</f>
        <v>#REF!</v>
      </c>
    </row>
    <row r="106" spans="2:12">
      <c r="B106" s="69" t="s">
        <v>6</v>
      </c>
      <c r="C106" s="421" t="str">
        <f>B19</f>
        <v>MÓDULO 2 – ENCARGOS E BENEFÍCIOS ANUAIS, MENSAIS E DIÁRIOS</v>
      </c>
      <c r="D106" s="421"/>
      <c r="E106" s="421"/>
      <c r="F106" s="421"/>
      <c r="G106" s="421"/>
      <c r="H106" s="421"/>
      <c r="I106" s="421"/>
      <c r="J106" s="421"/>
      <c r="K106" s="421"/>
      <c r="L106" s="54" t="e">
        <f>L51</f>
        <v>#REF!</v>
      </c>
    </row>
    <row r="107" spans="2:12">
      <c r="B107" s="69" t="s">
        <v>10</v>
      </c>
      <c r="C107" s="421" t="str">
        <f>B53</f>
        <v>MÓDULO 3 – PROVISÃO PARA RESCISÃO</v>
      </c>
      <c r="D107" s="421"/>
      <c r="E107" s="421"/>
      <c r="F107" s="421"/>
      <c r="G107" s="421"/>
      <c r="H107" s="421"/>
      <c r="I107" s="421"/>
      <c r="J107" s="421"/>
      <c r="K107" s="421"/>
      <c r="L107" s="54" t="e">
        <f>L60</f>
        <v>#REF!</v>
      </c>
    </row>
    <row r="108" spans="2:12">
      <c r="B108" s="69" t="s">
        <v>12</v>
      </c>
      <c r="C108" s="421" t="str">
        <f>B62</f>
        <v>MÓDULO 4 – CUSTO DE REPOSIÇÃO DO PROFISSIONAL AUSENTE</v>
      </c>
      <c r="D108" s="421"/>
      <c r="E108" s="421"/>
      <c r="F108" s="421"/>
      <c r="G108" s="421"/>
      <c r="H108" s="421"/>
      <c r="I108" s="421"/>
      <c r="J108" s="421"/>
      <c r="K108" s="421"/>
      <c r="L108" s="54" t="e">
        <f>L79</f>
        <v>#REF!</v>
      </c>
    </row>
    <row r="109" spans="2:12">
      <c r="B109" s="90" t="s">
        <v>14</v>
      </c>
      <c r="C109" s="421" t="str">
        <f>B81</f>
        <v>MÓDULO 5 – INSUMOS DIVERSOS</v>
      </c>
      <c r="D109" s="421"/>
      <c r="E109" s="421"/>
      <c r="F109" s="421"/>
      <c r="G109" s="421"/>
      <c r="H109" s="421"/>
      <c r="I109" s="421"/>
      <c r="J109" s="421"/>
      <c r="K109" s="421"/>
      <c r="L109" s="54" t="e">
        <f>L87</f>
        <v>#REF!</v>
      </c>
    </row>
    <row r="110" spans="2:12">
      <c r="B110" s="422" t="s">
        <v>209</v>
      </c>
      <c r="C110" s="422"/>
      <c r="D110" s="422"/>
      <c r="E110" s="422"/>
      <c r="F110" s="422"/>
      <c r="G110" s="422"/>
      <c r="H110" s="422"/>
      <c r="I110" s="422"/>
      <c r="J110" s="422"/>
      <c r="K110" s="422"/>
      <c r="L110" s="61" t="e">
        <f>SUM(L105:L109)</f>
        <v>#REF!</v>
      </c>
    </row>
    <row r="111" spans="2:12">
      <c r="B111" s="69" t="s">
        <v>14</v>
      </c>
      <c r="C111" s="421" t="s">
        <v>46</v>
      </c>
      <c r="D111" s="421"/>
      <c r="E111" s="421"/>
      <c r="F111" s="421"/>
      <c r="G111" s="421"/>
      <c r="H111" s="421"/>
      <c r="I111" s="421"/>
      <c r="J111" s="421"/>
      <c r="K111" s="421"/>
      <c r="L111" s="55" t="e">
        <f>L112-L110</f>
        <v>#REF!</v>
      </c>
    </row>
    <row r="112" spans="2:12">
      <c r="B112" s="423" t="s">
        <v>47</v>
      </c>
      <c r="C112" s="423"/>
      <c r="D112" s="423"/>
      <c r="E112" s="423"/>
      <c r="F112" s="423"/>
      <c r="G112" s="423"/>
      <c r="H112" s="423"/>
      <c r="I112" s="423"/>
      <c r="J112" s="423"/>
      <c r="K112" s="423"/>
      <c r="L112" s="62" t="e">
        <f>ROUND(J93/(1-$I$95),2)</f>
        <v>#REF!</v>
      </c>
    </row>
    <row r="113" spans="6:12">
      <c r="K113" s="50"/>
    </row>
    <row r="115" spans="6:12">
      <c r="F115" s="424" t="s">
        <v>48</v>
      </c>
      <c r="G115" s="425"/>
      <c r="H115" s="425"/>
      <c r="I115" s="426"/>
      <c r="J115" s="1"/>
      <c r="L115" s="1"/>
    </row>
    <row r="116" spans="6:12">
      <c r="F116" s="424" t="s">
        <v>49</v>
      </c>
      <c r="G116" s="425"/>
      <c r="H116" s="426"/>
      <c r="I116" s="56" t="s">
        <v>9</v>
      </c>
      <c r="J116" s="1"/>
      <c r="L116" s="1"/>
    </row>
    <row r="117" spans="6:12">
      <c r="F117" s="57" t="s">
        <v>50</v>
      </c>
      <c r="G117" s="57"/>
      <c r="H117" s="58"/>
      <c r="I117" s="58">
        <f>K91</f>
        <v>0.05</v>
      </c>
      <c r="J117" s="1"/>
      <c r="L117" s="1"/>
    </row>
    <row r="118" spans="6:12">
      <c r="F118" s="415" t="s">
        <v>32</v>
      </c>
      <c r="G118" s="416"/>
      <c r="H118" s="417"/>
      <c r="I118" s="58">
        <f>K92</f>
        <v>6.8099999999999994E-2</v>
      </c>
      <c r="J118" s="1"/>
      <c r="L118" s="1"/>
    </row>
    <row r="119" spans="6:12">
      <c r="F119" s="57" t="s">
        <v>51</v>
      </c>
      <c r="G119" s="57"/>
      <c r="H119" s="58"/>
      <c r="I119" s="58">
        <f>I95</f>
        <v>0.13250000000000001</v>
      </c>
      <c r="J119" s="1"/>
      <c r="L119" s="1"/>
    </row>
    <row r="120" spans="6:12">
      <c r="F120" s="418" t="s">
        <v>52</v>
      </c>
      <c r="G120" s="419"/>
      <c r="H120" s="420"/>
      <c r="I120" s="58">
        <f>(1+I117)*(1+I118)/(1-I119)-1</f>
        <v>0.29280115273775253</v>
      </c>
      <c r="J120" s="1"/>
      <c r="L120" s="1"/>
    </row>
  </sheetData>
  <mergeCells count="126">
    <mergeCell ref="I59:J59"/>
    <mergeCell ref="G67:H67"/>
    <mergeCell ref="C67:E67"/>
    <mergeCell ref="C68:E68"/>
    <mergeCell ref="B70:J70"/>
    <mergeCell ref="B63:J63"/>
    <mergeCell ref="B87:J87"/>
    <mergeCell ref="B62:J62"/>
    <mergeCell ref="C64:J64"/>
    <mergeCell ref="G68:H68"/>
    <mergeCell ref="C69:J69"/>
    <mergeCell ref="B72:J72"/>
    <mergeCell ref="C73:J73"/>
    <mergeCell ref="G65:I65"/>
    <mergeCell ref="C66:F66"/>
    <mergeCell ref="G66:H66"/>
    <mergeCell ref="C78:J78"/>
    <mergeCell ref="B74:J74"/>
    <mergeCell ref="B76:K76"/>
    <mergeCell ref="C77:J77"/>
    <mergeCell ref="B79:J79"/>
    <mergeCell ref="B80:L80"/>
    <mergeCell ref="B81:J81"/>
    <mergeCell ref="C91:J91"/>
    <mergeCell ref="L95:L100"/>
    <mergeCell ref="J96:K96"/>
    <mergeCell ref="J97:K97"/>
    <mergeCell ref="C98:F99"/>
    <mergeCell ref="J98:K98"/>
    <mergeCell ref="J99:K99"/>
    <mergeCell ref="C94:F94"/>
    <mergeCell ref="J94:K94"/>
    <mergeCell ref="C95:F97"/>
    <mergeCell ref="B90:J90"/>
    <mergeCell ref="C100:F100"/>
    <mergeCell ref="J100:K100"/>
    <mergeCell ref="C92:J92"/>
    <mergeCell ref="B93:B100"/>
    <mergeCell ref="C93:I93"/>
    <mergeCell ref="J93:K93"/>
    <mergeCell ref="F118:H118"/>
    <mergeCell ref="F120:H120"/>
    <mergeCell ref="C108:K108"/>
    <mergeCell ref="B110:K110"/>
    <mergeCell ref="C111:K111"/>
    <mergeCell ref="B112:K112"/>
    <mergeCell ref="F115:I115"/>
    <mergeCell ref="F116:H116"/>
    <mergeCell ref="B101:K101"/>
    <mergeCell ref="B103:L103"/>
    <mergeCell ref="B104:K104"/>
    <mergeCell ref="C105:K105"/>
    <mergeCell ref="C106:K106"/>
    <mergeCell ref="C107:K107"/>
    <mergeCell ref="C109:K109"/>
    <mergeCell ref="I95:I100"/>
    <mergeCell ref="J95:K95"/>
    <mergeCell ref="C28:J28"/>
    <mergeCell ref="C29:J29"/>
    <mergeCell ref="C30:J30"/>
    <mergeCell ref="C32:F32"/>
    <mergeCell ref="C33:J33"/>
    <mergeCell ref="C31:D31"/>
    <mergeCell ref="E31:F31"/>
    <mergeCell ref="G31:J31"/>
    <mergeCell ref="B34:J34"/>
    <mergeCell ref="B36:J36"/>
    <mergeCell ref="C37:J37"/>
    <mergeCell ref="C38:J38"/>
    <mergeCell ref="C39:J39"/>
    <mergeCell ref="C40:J40"/>
    <mergeCell ref="C41:J41"/>
    <mergeCell ref="C42:J42"/>
    <mergeCell ref="C43:J43"/>
    <mergeCell ref="I57:J57"/>
    <mergeCell ref="I55:J55"/>
    <mergeCell ref="C56:H56"/>
    <mergeCell ref="I56:J56"/>
    <mergeCell ref="C58:H58"/>
    <mergeCell ref="I58:J58"/>
    <mergeCell ref="C59:H59"/>
    <mergeCell ref="C86:K86"/>
    <mergeCell ref="B19:K19"/>
    <mergeCell ref="B20:J20"/>
    <mergeCell ref="B23:J23"/>
    <mergeCell ref="C21:J21"/>
    <mergeCell ref="C22:J22"/>
    <mergeCell ref="B45:J45"/>
    <mergeCell ref="C26:J26"/>
    <mergeCell ref="C27:J27"/>
    <mergeCell ref="C44:K44"/>
    <mergeCell ref="C82:K82"/>
    <mergeCell ref="C83:D83"/>
    <mergeCell ref="E83:I83"/>
    <mergeCell ref="J83:K83"/>
    <mergeCell ref="B47:K47"/>
    <mergeCell ref="C48:J48"/>
    <mergeCell ref="C49:J49"/>
    <mergeCell ref="C50:J50"/>
    <mergeCell ref="B51:J51"/>
    <mergeCell ref="B60:J60"/>
    <mergeCell ref="C55:H55"/>
    <mergeCell ref="C12:I12"/>
    <mergeCell ref="C13:I13"/>
    <mergeCell ref="B25:J25"/>
    <mergeCell ref="C84:D84"/>
    <mergeCell ref="E84:I84"/>
    <mergeCell ref="J84:K84"/>
    <mergeCell ref="B2:L2"/>
    <mergeCell ref="B3:L4"/>
    <mergeCell ref="B6:L6"/>
    <mergeCell ref="C7:K7"/>
    <mergeCell ref="C9:E9"/>
    <mergeCell ref="F9:I9"/>
    <mergeCell ref="C8:K8"/>
    <mergeCell ref="C10:I10"/>
    <mergeCell ref="C11:I11"/>
    <mergeCell ref="C14:I14"/>
    <mergeCell ref="C15:K15"/>
    <mergeCell ref="C16:K16"/>
    <mergeCell ref="B17:K17"/>
    <mergeCell ref="C57:H57"/>
    <mergeCell ref="B53:J53"/>
    <mergeCell ref="C54:H54"/>
    <mergeCell ref="B52:L52"/>
    <mergeCell ref="C65:F65"/>
  </mergeCells>
  <pageMargins left="0.511811024" right="0.511811024" top="0.78740157499999996" bottom="0.78740157499999996" header="0.31496062000000002" footer="0.3149606200000000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120"/>
  <sheetViews>
    <sheetView workbookViewId="0">
      <selection activeCell="G85" sqref="G85"/>
    </sheetView>
  </sheetViews>
  <sheetFormatPr defaultColWidth="11.85546875" defaultRowHeight="15"/>
  <cols>
    <col min="1" max="1" width="6.28515625" style="1" customWidth="1"/>
    <col min="2" max="2" width="4.5703125" style="1" customWidth="1"/>
    <col min="3" max="3" width="9" style="1" customWidth="1"/>
    <col min="4" max="4" width="25" style="1" customWidth="1"/>
    <col min="5" max="5" width="4.7109375" style="1" bestFit="1" customWidth="1"/>
    <col min="6" max="6" width="9" style="1" bestFit="1" customWidth="1"/>
    <col min="7" max="7" width="10.42578125" style="1" customWidth="1"/>
    <col min="8" max="8" width="10.7109375" style="1" customWidth="1"/>
    <col min="9" max="9" width="16.7109375" style="32" customWidth="1"/>
    <col min="10" max="10" width="9" style="33" bestFit="1" customWidth="1"/>
    <col min="11" max="11" width="9.140625" style="1" bestFit="1" customWidth="1"/>
    <col min="12" max="12" width="12.7109375" style="18" bestFit="1" customWidth="1"/>
    <col min="13" max="13" width="13.28515625" style="1" bestFit="1" customWidth="1"/>
    <col min="14" max="16384" width="11.85546875" style="1"/>
  </cols>
  <sheetData>
    <row r="2" spans="2:13">
      <c r="B2" s="463" t="s">
        <v>2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</row>
    <row r="3" spans="2:13" s="2" customFormat="1">
      <c r="B3" s="464" t="e">
        <f>#REF!</f>
        <v>#REF!</v>
      </c>
      <c r="C3" s="465"/>
      <c r="D3" s="465"/>
      <c r="E3" s="465"/>
      <c r="F3" s="465"/>
      <c r="G3" s="465"/>
      <c r="H3" s="465"/>
      <c r="I3" s="465"/>
      <c r="J3" s="465"/>
      <c r="K3" s="465"/>
      <c r="L3" s="466"/>
    </row>
    <row r="4" spans="2:13" s="2" customFormat="1">
      <c r="B4" s="467"/>
      <c r="C4" s="468"/>
      <c r="D4" s="468"/>
      <c r="E4" s="468"/>
      <c r="F4" s="468"/>
      <c r="G4" s="468"/>
      <c r="H4" s="468"/>
      <c r="I4" s="468"/>
      <c r="J4" s="468"/>
      <c r="K4" s="468"/>
      <c r="L4" s="469"/>
    </row>
    <row r="5" spans="2:13">
      <c r="B5" s="3"/>
      <c r="C5" s="4"/>
      <c r="D5" s="4"/>
      <c r="E5" s="4"/>
      <c r="F5" s="4"/>
      <c r="G5" s="4"/>
      <c r="H5" s="4"/>
      <c r="I5" s="5"/>
      <c r="J5" s="4"/>
      <c r="K5" s="6"/>
      <c r="L5" s="7" t="s">
        <v>53</v>
      </c>
    </row>
    <row r="6" spans="2:13">
      <c r="B6" s="454" t="s">
        <v>3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</row>
    <row r="7" spans="2:13">
      <c r="B7" s="69" t="s">
        <v>4</v>
      </c>
      <c r="C7" s="421" t="s">
        <v>5</v>
      </c>
      <c r="D7" s="421"/>
      <c r="E7" s="421"/>
      <c r="F7" s="421"/>
      <c r="G7" s="421"/>
      <c r="H7" s="421"/>
      <c r="I7" s="421"/>
      <c r="J7" s="421"/>
      <c r="K7" s="421"/>
      <c r="L7" s="9" t="e">
        <f>#REF!</f>
        <v>#REF!</v>
      </c>
    </row>
    <row r="8" spans="2:13">
      <c r="B8" s="79" t="s">
        <v>154</v>
      </c>
      <c r="C8" s="421" t="s">
        <v>155</v>
      </c>
      <c r="D8" s="421"/>
      <c r="E8" s="421"/>
      <c r="F8" s="421"/>
      <c r="G8" s="421"/>
      <c r="H8" s="421"/>
      <c r="I8" s="421"/>
      <c r="J8" s="421"/>
      <c r="K8" s="421"/>
      <c r="L8" s="9"/>
    </row>
    <row r="9" spans="2:13">
      <c r="B9" s="69" t="s">
        <v>6</v>
      </c>
      <c r="C9" s="421" t="s">
        <v>7</v>
      </c>
      <c r="D9" s="421"/>
      <c r="E9" s="421"/>
      <c r="F9" s="455" t="s">
        <v>8</v>
      </c>
      <c r="G9" s="455"/>
      <c r="H9" s="455"/>
      <c r="I9" s="455"/>
      <c r="J9" s="10" t="s">
        <v>9</v>
      </c>
      <c r="K9" s="11">
        <v>0.3</v>
      </c>
      <c r="L9" s="12" t="e">
        <f>K9*L7</f>
        <v>#REF!</v>
      </c>
      <c r="M9" s="13"/>
    </row>
    <row r="10" spans="2:13">
      <c r="B10" s="90" t="s">
        <v>10</v>
      </c>
      <c r="C10" s="448" t="s">
        <v>160</v>
      </c>
      <c r="D10" s="449"/>
      <c r="E10" s="449"/>
      <c r="F10" s="449"/>
      <c r="G10" s="449"/>
      <c r="H10" s="449"/>
      <c r="I10" s="450"/>
      <c r="J10" s="10" t="s">
        <v>9</v>
      </c>
      <c r="K10" s="11">
        <v>0</v>
      </c>
      <c r="L10" s="12">
        <f>K10*L8</f>
        <v>0</v>
      </c>
      <c r="M10" s="13"/>
    </row>
    <row r="11" spans="2:13">
      <c r="B11" s="90" t="s">
        <v>12</v>
      </c>
      <c r="C11" s="448" t="s">
        <v>157</v>
      </c>
      <c r="D11" s="449"/>
      <c r="E11" s="449"/>
      <c r="F11" s="449"/>
      <c r="G11" s="449"/>
      <c r="H11" s="449"/>
      <c r="I11" s="450"/>
      <c r="J11" s="10" t="s">
        <v>9</v>
      </c>
      <c r="K11" s="11">
        <v>0</v>
      </c>
      <c r="L11" s="12" t="e">
        <f>K11*L9</f>
        <v>#REF!</v>
      </c>
      <c r="M11" s="13"/>
    </row>
    <row r="12" spans="2:13">
      <c r="B12" s="90" t="s">
        <v>14</v>
      </c>
      <c r="C12" s="448" t="s">
        <v>158</v>
      </c>
      <c r="D12" s="449"/>
      <c r="E12" s="449"/>
      <c r="F12" s="449"/>
      <c r="G12" s="449"/>
      <c r="H12" s="449"/>
      <c r="I12" s="450"/>
      <c r="J12" s="10" t="s">
        <v>9</v>
      </c>
      <c r="K12" s="11">
        <v>0</v>
      </c>
      <c r="L12" s="12">
        <f>K12*L10</f>
        <v>0</v>
      </c>
      <c r="M12" s="13"/>
    </row>
    <row r="13" spans="2:13">
      <c r="B13" s="90" t="s">
        <v>1</v>
      </c>
      <c r="C13" s="448" t="s">
        <v>159</v>
      </c>
      <c r="D13" s="449"/>
      <c r="E13" s="449"/>
      <c r="F13" s="449"/>
      <c r="G13" s="449"/>
      <c r="H13" s="449"/>
      <c r="I13" s="450"/>
      <c r="J13" s="10" t="s">
        <v>9</v>
      </c>
      <c r="K13" s="11">
        <v>0</v>
      </c>
      <c r="L13" s="12" t="e">
        <f>K13*L11</f>
        <v>#REF!</v>
      </c>
      <c r="M13" s="13"/>
    </row>
    <row r="14" spans="2:13">
      <c r="B14" s="90" t="s">
        <v>15</v>
      </c>
      <c r="C14" s="477" t="s">
        <v>11</v>
      </c>
      <c r="D14" s="477"/>
      <c r="E14" s="477"/>
      <c r="F14" s="477"/>
      <c r="G14" s="477"/>
      <c r="H14" s="477"/>
      <c r="I14" s="477"/>
      <c r="J14" s="10" t="s">
        <v>9</v>
      </c>
      <c r="K14" s="14">
        <v>0</v>
      </c>
      <c r="L14" s="12">
        <v>0</v>
      </c>
      <c r="M14" s="13"/>
    </row>
    <row r="15" spans="2:13">
      <c r="B15" s="90" t="s">
        <v>16</v>
      </c>
      <c r="C15" s="478" t="s">
        <v>13</v>
      </c>
      <c r="D15" s="478"/>
      <c r="E15" s="478"/>
      <c r="F15" s="478"/>
      <c r="G15" s="478"/>
      <c r="H15" s="478"/>
      <c r="I15" s="478"/>
      <c r="J15" s="478"/>
      <c r="K15" s="478"/>
      <c r="L15" s="12">
        <v>0</v>
      </c>
      <c r="M15" s="13"/>
    </row>
    <row r="16" spans="2:13">
      <c r="B16" s="90" t="s">
        <v>156</v>
      </c>
      <c r="C16" s="458" t="s">
        <v>0</v>
      </c>
      <c r="D16" s="458"/>
      <c r="E16" s="458"/>
      <c r="F16" s="458"/>
      <c r="G16" s="458"/>
      <c r="H16" s="458"/>
      <c r="I16" s="458"/>
      <c r="J16" s="458"/>
      <c r="K16" s="458"/>
      <c r="L16" s="12"/>
      <c r="M16" s="13"/>
    </row>
    <row r="17" spans="2:13">
      <c r="B17" s="479" t="s">
        <v>208</v>
      </c>
      <c r="C17" s="479"/>
      <c r="D17" s="479"/>
      <c r="E17" s="479"/>
      <c r="F17" s="479"/>
      <c r="G17" s="479"/>
      <c r="H17" s="479"/>
      <c r="I17" s="479"/>
      <c r="J17" s="479"/>
      <c r="K17" s="479"/>
      <c r="L17" s="100" t="e">
        <f>SUM(L7:L16)</f>
        <v>#REF!</v>
      </c>
      <c r="M17" s="15"/>
    </row>
    <row r="18" spans="2:13">
      <c r="B18" s="16"/>
      <c r="C18" s="16"/>
      <c r="D18" s="16"/>
      <c r="E18" s="16"/>
      <c r="F18" s="16"/>
      <c r="G18" s="16"/>
      <c r="H18" s="16"/>
      <c r="I18" s="17"/>
      <c r="J18" s="16"/>
      <c r="K18" s="16"/>
    </row>
    <row r="19" spans="2:13">
      <c r="B19" s="454" t="s">
        <v>161</v>
      </c>
      <c r="C19" s="454"/>
      <c r="D19" s="454"/>
      <c r="E19" s="454"/>
      <c r="F19" s="454"/>
      <c r="G19" s="454"/>
      <c r="H19" s="454"/>
      <c r="I19" s="454"/>
      <c r="J19" s="454"/>
      <c r="K19" s="454"/>
      <c r="L19" s="7" t="str">
        <f>L5</f>
        <v>SERVENTE</v>
      </c>
    </row>
    <row r="20" spans="2:13">
      <c r="B20" s="446" t="s">
        <v>162</v>
      </c>
      <c r="C20" s="447"/>
      <c r="D20" s="447"/>
      <c r="E20" s="447"/>
      <c r="F20" s="447"/>
      <c r="G20" s="447"/>
      <c r="H20" s="447"/>
      <c r="I20" s="447"/>
      <c r="J20" s="447"/>
      <c r="K20" s="92" t="s">
        <v>9</v>
      </c>
      <c r="L20" s="12" t="s">
        <v>166</v>
      </c>
    </row>
    <row r="21" spans="2:13">
      <c r="B21" s="90" t="s">
        <v>4</v>
      </c>
      <c r="C21" s="448" t="s">
        <v>163</v>
      </c>
      <c r="D21" s="449"/>
      <c r="E21" s="449"/>
      <c r="F21" s="449"/>
      <c r="G21" s="449"/>
      <c r="H21" s="449"/>
      <c r="I21" s="449"/>
      <c r="J21" s="450"/>
      <c r="K21" s="34">
        <v>8.3299999999999999E-2</v>
      </c>
      <c r="L21" s="12" t="e">
        <f>K21*L17</f>
        <v>#REF!</v>
      </c>
    </row>
    <row r="22" spans="2:13">
      <c r="B22" s="90" t="s">
        <v>6</v>
      </c>
      <c r="C22" s="448" t="s">
        <v>164</v>
      </c>
      <c r="D22" s="449"/>
      <c r="E22" s="449"/>
      <c r="F22" s="449"/>
      <c r="G22" s="449"/>
      <c r="H22" s="449"/>
      <c r="I22" s="449"/>
      <c r="J22" s="450"/>
      <c r="K22" s="34">
        <v>2.7799999999999998E-2</v>
      </c>
      <c r="L22" s="12" t="e">
        <f>K22*L17</f>
        <v>#REF!</v>
      </c>
    </row>
    <row r="23" spans="2:13">
      <c r="B23" s="451" t="s">
        <v>165</v>
      </c>
      <c r="C23" s="452"/>
      <c r="D23" s="452"/>
      <c r="E23" s="452"/>
      <c r="F23" s="452"/>
      <c r="G23" s="452"/>
      <c r="H23" s="452"/>
      <c r="I23" s="452"/>
      <c r="J23" s="453"/>
      <c r="K23" s="34">
        <f>SUM(K21:K22)</f>
        <v>0.1111</v>
      </c>
      <c r="L23" s="12" t="e">
        <f>SUM(L21:L22)</f>
        <v>#REF!</v>
      </c>
    </row>
    <row r="24" spans="2:13">
      <c r="B24" s="93"/>
      <c r="C24" s="94"/>
      <c r="D24" s="94"/>
      <c r="E24" s="94"/>
      <c r="F24" s="94"/>
      <c r="G24" s="94"/>
      <c r="H24" s="94"/>
      <c r="I24" s="94"/>
      <c r="J24" s="95"/>
      <c r="K24" s="34"/>
      <c r="L24" s="12"/>
    </row>
    <row r="25" spans="2:13">
      <c r="B25" s="446" t="s">
        <v>167</v>
      </c>
      <c r="C25" s="447"/>
      <c r="D25" s="447"/>
      <c r="E25" s="447"/>
      <c r="F25" s="447"/>
      <c r="G25" s="447"/>
      <c r="H25" s="447"/>
      <c r="I25" s="447"/>
      <c r="J25" s="447"/>
      <c r="K25" s="92" t="s">
        <v>9</v>
      </c>
      <c r="L25" s="12" t="s">
        <v>166</v>
      </c>
    </row>
    <row r="26" spans="2:13">
      <c r="B26" s="74" t="s">
        <v>4</v>
      </c>
      <c r="C26" s="455" t="s">
        <v>17</v>
      </c>
      <c r="D26" s="455"/>
      <c r="E26" s="455"/>
      <c r="F26" s="455"/>
      <c r="G26" s="455"/>
      <c r="H26" s="455"/>
      <c r="I26" s="455"/>
      <c r="J26" s="455"/>
      <c r="K26" s="27">
        <v>0.2</v>
      </c>
      <c r="L26" s="28" t="e">
        <f>ROUND($K$26*L17,2)</f>
        <v>#REF!</v>
      </c>
    </row>
    <row r="27" spans="2:13">
      <c r="B27" s="74" t="s">
        <v>6</v>
      </c>
      <c r="C27" s="455" t="s">
        <v>18</v>
      </c>
      <c r="D27" s="455"/>
      <c r="E27" s="455"/>
      <c r="F27" s="455"/>
      <c r="G27" s="455"/>
      <c r="H27" s="455"/>
      <c r="I27" s="455"/>
      <c r="J27" s="455"/>
      <c r="K27" s="27">
        <v>1.4999999999999999E-2</v>
      </c>
      <c r="L27" s="28" t="e">
        <f>ROUND($K$27*L17,2)</f>
        <v>#REF!</v>
      </c>
    </row>
    <row r="28" spans="2:13">
      <c r="B28" s="74" t="s">
        <v>10</v>
      </c>
      <c r="C28" s="455" t="s">
        <v>19</v>
      </c>
      <c r="D28" s="455"/>
      <c r="E28" s="455"/>
      <c r="F28" s="455"/>
      <c r="G28" s="455"/>
      <c r="H28" s="455"/>
      <c r="I28" s="455"/>
      <c r="J28" s="455"/>
      <c r="K28" s="27">
        <v>0.01</v>
      </c>
      <c r="L28" s="28" t="e">
        <f>ROUND(K28*$L$17,2)</f>
        <v>#REF!</v>
      </c>
    </row>
    <row r="29" spans="2:13">
      <c r="B29" s="74" t="s">
        <v>12</v>
      </c>
      <c r="C29" s="455" t="s">
        <v>20</v>
      </c>
      <c r="D29" s="455"/>
      <c r="E29" s="455"/>
      <c r="F29" s="455"/>
      <c r="G29" s="455"/>
      <c r="H29" s="455"/>
      <c r="I29" s="455"/>
      <c r="J29" s="455"/>
      <c r="K29" s="27">
        <v>2E-3</v>
      </c>
      <c r="L29" s="28" t="e">
        <f>ROUND(K29*$L$17,2)</f>
        <v>#REF!</v>
      </c>
    </row>
    <row r="30" spans="2:13">
      <c r="B30" s="74" t="s">
        <v>14</v>
      </c>
      <c r="C30" s="455" t="s">
        <v>21</v>
      </c>
      <c r="D30" s="455"/>
      <c r="E30" s="455"/>
      <c r="F30" s="455"/>
      <c r="G30" s="455"/>
      <c r="H30" s="455"/>
      <c r="I30" s="455"/>
      <c r="J30" s="455"/>
      <c r="K30" s="27">
        <v>2.5000000000000001E-2</v>
      </c>
      <c r="L30" s="28" t="e">
        <f>ROUND(K30*$L$17,2)</f>
        <v>#REF!</v>
      </c>
      <c r="M30" s="29"/>
    </row>
    <row r="31" spans="2:13">
      <c r="B31" s="74" t="s">
        <v>1</v>
      </c>
      <c r="C31" s="448" t="s">
        <v>153</v>
      </c>
      <c r="D31" s="450"/>
      <c r="E31" s="459">
        <v>0.08</v>
      </c>
      <c r="F31" s="460"/>
      <c r="G31" s="448" t="s">
        <v>152</v>
      </c>
      <c r="H31" s="449"/>
      <c r="I31" s="449"/>
      <c r="J31" s="450"/>
      <c r="K31" s="27">
        <f>E31*(1+(1/12)+(1/12/3))</f>
        <v>8.8888888888888878E-2</v>
      </c>
      <c r="L31" s="28" t="e">
        <f>ROUND(K31*($L$17+(1/3/12*L17)+(1/12*L17)),2)</f>
        <v>#REF!</v>
      </c>
      <c r="M31" s="1" t="s">
        <v>168</v>
      </c>
    </row>
    <row r="32" spans="2:13">
      <c r="B32" s="74" t="s">
        <v>15</v>
      </c>
      <c r="C32" s="455" t="s">
        <v>22</v>
      </c>
      <c r="D32" s="455"/>
      <c r="E32" s="455"/>
      <c r="F32" s="455"/>
      <c r="G32" s="73" t="s">
        <v>23</v>
      </c>
      <c r="H32" s="30">
        <v>0.03</v>
      </c>
      <c r="I32" s="73" t="s">
        <v>24</v>
      </c>
      <c r="J32" s="63">
        <v>1</v>
      </c>
      <c r="K32" s="31">
        <f>H32*J32</f>
        <v>0.03</v>
      </c>
      <c r="L32" s="28" t="e">
        <f>ROUND(K32*$L$17,2)</f>
        <v>#REF!</v>
      </c>
    </row>
    <row r="33" spans="2:20">
      <c r="B33" s="74" t="s">
        <v>16</v>
      </c>
      <c r="C33" s="455" t="s">
        <v>25</v>
      </c>
      <c r="D33" s="455"/>
      <c r="E33" s="455"/>
      <c r="F33" s="455"/>
      <c r="G33" s="455"/>
      <c r="H33" s="455"/>
      <c r="I33" s="455"/>
      <c r="J33" s="455"/>
      <c r="K33" s="27">
        <v>6.0000000000000001E-3</v>
      </c>
      <c r="L33" s="28" t="e">
        <f>ROUND(K33*$L$17,2)</f>
        <v>#REF!</v>
      </c>
      <c r="M33" s="2"/>
      <c r="N33" s="2"/>
      <c r="O33" s="2"/>
      <c r="P33" s="2"/>
      <c r="Q33" s="2"/>
      <c r="R33" s="2"/>
      <c r="S33" s="2"/>
      <c r="T33" s="2"/>
    </row>
    <row r="34" spans="2:20">
      <c r="B34" s="451" t="s">
        <v>169</v>
      </c>
      <c r="C34" s="452"/>
      <c r="D34" s="452"/>
      <c r="E34" s="452"/>
      <c r="F34" s="452"/>
      <c r="G34" s="452"/>
      <c r="H34" s="452"/>
      <c r="I34" s="452"/>
      <c r="J34" s="453"/>
      <c r="K34" s="34">
        <f>SUM(K26:K33)</f>
        <v>0.37688888888888894</v>
      </c>
      <c r="L34" s="12" t="e">
        <f>SUM(L26:L33)</f>
        <v>#REF!</v>
      </c>
      <c r="M34" s="2"/>
      <c r="N34" s="2"/>
      <c r="O34" s="2"/>
      <c r="P34" s="2"/>
      <c r="Q34" s="2"/>
      <c r="R34" s="2"/>
      <c r="S34" s="2"/>
      <c r="T34" s="2"/>
    </row>
    <row r="35" spans="2:20">
      <c r="B35" s="93"/>
      <c r="C35" s="94"/>
      <c r="D35" s="94"/>
      <c r="E35" s="94"/>
      <c r="F35" s="94"/>
      <c r="G35" s="94"/>
      <c r="H35" s="94"/>
      <c r="I35" s="94"/>
      <c r="J35" s="95"/>
      <c r="K35" s="34"/>
      <c r="L35" s="12"/>
      <c r="M35" s="2"/>
      <c r="N35" s="2"/>
      <c r="O35" s="2"/>
      <c r="P35" s="2"/>
      <c r="Q35" s="2"/>
      <c r="R35" s="2"/>
      <c r="S35" s="2"/>
      <c r="T35" s="2"/>
    </row>
    <row r="36" spans="2:20">
      <c r="B36" s="446" t="s">
        <v>170</v>
      </c>
      <c r="C36" s="447"/>
      <c r="D36" s="447"/>
      <c r="E36" s="447"/>
      <c r="F36" s="447"/>
      <c r="G36" s="447"/>
      <c r="H36" s="447"/>
      <c r="I36" s="447"/>
      <c r="J36" s="447"/>
      <c r="K36" s="92"/>
      <c r="L36" s="12" t="s">
        <v>166</v>
      </c>
    </row>
    <row r="37" spans="2:20">
      <c r="B37" s="69" t="s">
        <v>4</v>
      </c>
      <c r="C37" s="448" t="e">
        <f>#REF!</f>
        <v>#REF!</v>
      </c>
      <c r="D37" s="449"/>
      <c r="E37" s="449"/>
      <c r="F37" s="449"/>
      <c r="G37" s="449"/>
      <c r="H37" s="449"/>
      <c r="I37" s="449"/>
      <c r="J37" s="450"/>
      <c r="K37" s="80"/>
      <c r="L37" s="12" t="e">
        <f>#REF!</f>
        <v>#REF!</v>
      </c>
    </row>
    <row r="38" spans="2:20">
      <c r="B38" s="69" t="s">
        <v>6</v>
      </c>
      <c r="C38" s="448" t="e">
        <f>#REF!</f>
        <v>#REF!</v>
      </c>
      <c r="D38" s="449"/>
      <c r="E38" s="449"/>
      <c r="F38" s="449"/>
      <c r="G38" s="449"/>
      <c r="H38" s="449"/>
      <c r="I38" s="449"/>
      <c r="J38" s="450"/>
      <c r="K38" s="80"/>
      <c r="L38" s="12" t="e">
        <f>#REF!</f>
        <v>#REF!</v>
      </c>
    </row>
    <row r="39" spans="2:20">
      <c r="B39" s="69" t="s">
        <v>10</v>
      </c>
      <c r="C39" s="448" t="e">
        <f>#REF!</f>
        <v>#REF!</v>
      </c>
      <c r="D39" s="449"/>
      <c r="E39" s="449"/>
      <c r="F39" s="449"/>
      <c r="G39" s="449"/>
      <c r="H39" s="449"/>
      <c r="I39" s="449"/>
      <c r="J39" s="450"/>
      <c r="K39" s="80"/>
      <c r="L39" s="12" t="e">
        <f>#REF!</f>
        <v>#REF!</v>
      </c>
    </row>
    <row r="40" spans="2:20">
      <c r="B40" s="79" t="s">
        <v>12</v>
      </c>
      <c r="C40" s="448" t="e">
        <f>#REF!</f>
        <v>#REF!</v>
      </c>
      <c r="D40" s="449"/>
      <c r="E40" s="449"/>
      <c r="F40" s="449"/>
      <c r="G40" s="449"/>
      <c r="H40" s="449"/>
      <c r="I40" s="449"/>
      <c r="J40" s="450"/>
      <c r="K40" s="80"/>
      <c r="L40" s="12" t="e">
        <f>#REF!</f>
        <v>#REF!</v>
      </c>
    </row>
    <row r="41" spans="2:20">
      <c r="B41" s="79" t="s">
        <v>14</v>
      </c>
      <c r="C41" s="448" t="e">
        <f>#REF!</f>
        <v>#REF!</v>
      </c>
      <c r="D41" s="449"/>
      <c r="E41" s="449"/>
      <c r="F41" s="449"/>
      <c r="G41" s="449"/>
      <c r="H41" s="449"/>
      <c r="I41" s="449"/>
      <c r="J41" s="450"/>
      <c r="K41" s="81"/>
      <c r="L41" s="12" t="e">
        <f>#REF!</f>
        <v>#REF!</v>
      </c>
    </row>
    <row r="42" spans="2:20">
      <c r="B42" s="79" t="s">
        <v>1</v>
      </c>
      <c r="C42" s="448" t="e">
        <f>#REF!</f>
        <v>#REF!</v>
      </c>
      <c r="D42" s="449"/>
      <c r="E42" s="449"/>
      <c r="F42" s="449"/>
      <c r="G42" s="449"/>
      <c r="H42" s="449"/>
      <c r="I42" s="449"/>
      <c r="J42" s="450"/>
      <c r="K42" s="82"/>
      <c r="L42" s="12" t="e">
        <f>#REF!</f>
        <v>#REF!</v>
      </c>
    </row>
    <row r="43" spans="2:20">
      <c r="B43" s="79" t="s">
        <v>15</v>
      </c>
      <c r="C43" s="448" t="e">
        <f>#REF!</f>
        <v>#REF!</v>
      </c>
      <c r="D43" s="449"/>
      <c r="E43" s="449"/>
      <c r="F43" s="449"/>
      <c r="G43" s="449"/>
      <c r="H43" s="449"/>
      <c r="I43" s="449"/>
      <c r="J43" s="450"/>
      <c r="K43" s="82"/>
      <c r="L43" s="12" t="e">
        <f>#REF!</f>
        <v>#REF!</v>
      </c>
    </row>
    <row r="44" spans="2:20">
      <c r="B44" s="79" t="s">
        <v>16</v>
      </c>
      <c r="C44" s="458" t="s">
        <v>0</v>
      </c>
      <c r="D44" s="458"/>
      <c r="E44" s="458"/>
      <c r="F44" s="458"/>
      <c r="G44" s="458"/>
      <c r="H44" s="458"/>
      <c r="I44" s="458"/>
      <c r="J44" s="458"/>
      <c r="K44" s="458"/>
      <c r="L44" s="19">
        <v>0</v>
      </c>
    </row>
    <row r="45" spans="2:20">
      <c r="B45" s="451" t="s">
        <v>172</v>
      </c>
      <c r="C45" s="452"/>
      <c r="D45" s="452"/>
      <c r="E45" s="452"/>
      <c r="F45" s="452"/>
      <c r="G45" s="452"/>
      <c r="H45" s="452"/>
      <c r="I45" s="452"/>
      <c r="J45" s="453"/>
      <c r="K45" s="34"/>
      <c r="L45" s="12" t="e">
        <f>SUM(L37:L44)</f>
        <v>#REF!</v>
      </c>
    </row>
    <row r="46" spans="2:20">
      <c r="B46" s="93"/>
      <c r="C46" s="94"/>
      <c r="D46" s="94"/>
      <c r="E46" s="94"/>
      <c r="F46" s="94"/>
      <c r="G46" s="94"/>
      <c r="H46" s="94"/>
      <c r="I46" s="94"/>
      <c r="J46" s="95"/>
      <c r="K46" s="34"/>
      <c r="L46" s="12"/>
    </row>
    <row r="47" spans="2:20">
      <c r="B47" s="473" t="s">
        <v>173</v>
      </c>
      <c r="C47" s="473"/>
      <c r="D47" s="473"/>
      <c r="E47" s="473"/>
      <c r="F47" s="473"/>
      <c r="G47" s="473"/>
      <c r="H47" s="473"/>
      <c r="I47" s="473"/>
      <c r="J47" s="473"/>
      <c r="K47" s="473"/>
      <c r="L47" s="7" t="str">
        <f>L5</f>
        <v>SERVENTE</v>
      </c>
    </row>
    <row r="48" spans="2:20">
      <c r="B48" s="90" t="s">
        <v>174</v>
      </c>
      <c r="C48" s="448" t="s">
        <v>177</v>
      </c>
      <c r="D48" s="449"/>
      <c r="E48" s="449"/>
      <c r="F48" s="449"/>
      <c r="G48" s="449"/>
      <c r="H48" s="449"/>
      <c r="I48" s="449"/>
      <c r="J48" s="450"/>
      <c r="K48" s="80"/>
      <c r="L48" s="12" t="e">
        <f>L23</f>
        <v>#REF!</v>
      </c>
    </row>
    <row r="49" spans="2:12">
      <c r="B49" s="90" t="s">
        <v>175</v>
      </c>
      <c r="C49" s="448" t="s">
        <v>178</v>
      </c>
      <c r="D49" s="449"/>
      <c r="E49" s="449"/>
      <c r="F49" s="449"/>
      <c r="G49" s="449"/>
      <c r="H49" s="449"/>
      <c r="I49" s="449"/>
      <c r="J49" s="450"/>
      <c r="K49" s="80"/>
      <c r="L49" s="12" t="e">
        <f>L34</f>
        <v>#REF!</v>
      </c>
    </row>
    <row r="50" spans="2:12">
      <c r="B50" s="90" t="s">
        <v>176</v>
      </c>
      <c r="C50" s="448" t="s">
        <v>180</v>
      </c>
      <c r="D50" s="449"/>
      <c r="E50" s="449"/>
      <c r="F50" s="449"/>
      <c r="G50" s="449"/>
      <c r="H50" s="449"/>
      <c r="I50" s="449"/>
      <c r="J50" s="450"/>
      <c r="K50" s="80"/>
      <c r="L50" s="12" t="e">
        <f>L45</f>
        <v>#REF!</v>
      </c>
    </row>
    <row r="51" spans="2:12">
      <c r="B51" s="474" t="s">
        <v>179</v>
      </c>
      <c r="C51" s="475"/>
      <c r="D51" s="475"/>
      <c r="E51" s="475"/>
      <c r="F51" s="475"/>
      <c r="G51" s="475"/>
      <c r="H51" s="475"/>
      <c r="I51" s="475"/>
      <c r="J51" s="476"/>
      <c r="K51" s="101"/>
      <c r="L51" s="102" t="e">
        <f>SUM(L48:L50)</f>
        <v>#REF!</v>
      </c>
    </row>
    <row r="52" spans="2:12">
      <c r="B52" s="461"/>
      <c r="C52" s="462"/>
      <c r="D52" s="462"/>
      <c r="E52" s="462"/>
      <c r="F52" s="462"/>
      <c r="G52" s="462"/>
      <c r="H52" s="462"/>
      <c r="I52" s="462"/>
      <c r="J52" s="462"/>
      <c r="K52" s="462"/>
      <c r="L52" s="462"/>
    </row>
    <row r="53" spans="2:12">
      <c r="B53" s="454" t="s">
        <v>171</v>
      </c>
      <c r="C53" s="454"/>
      <c r="D53" s="454"/>
      <c r="E53" s="454"/>
      <c r="F53" s="454"/>
      <c r="G53" s="454"/>
      <c r="H53" s="454"/>
      <c r="I53" s="454"/>
      <c r="J53" s="454"/>
      <c r="K53" s="97" t="s">
        <v>9</v>
      </c>
      <c r="L53" s="98" t="s">
        <v>166</v>
      </c>
    </row>
    <row r="54" spans="2:12">
      <c r="B54" s="69" t="s">
        <v>4</v>
      </c>
      <c r="C54" s="455" t="s">
        <v>26</v>
      </c>
      <c r="D54" s="455"/>
      <c r="E54" s="455"/>
      <c r="F54" s="455"/>
      <c r="G54" s="455"/>
      <c r="H54" s="455"/>
      <c r="I54" s="38">
        <v>30</v>
      </c>
      <c r="J54" s="39">
        <v>0.05</v>
      </c>
      <c r="K54" s="34">
        <f>I54/30/12*J54</f>
        <v>4.1666666666666666E-3</v>
      </c>
      <c r="L54" s="12" t="e">
        <f t="shared" ref="L54:L59" si="0">ROUND(K54*$L$17,2)</f>
        <v>#REF!</v>
      </c>
    </row>
    <row r="55" spans="2:12">
      <c r="B55" s="69" t="s">
        <v>6</v>
      </c>
      <c r="C55" s="455" t="s">
        <v>27</v>
      </c>
      <c r="D55" s="455"/>
      <c r="E55" s="455"/>
      <c r="F55" s="455"/>
      <c r="G55" s="455"/>
      <c r="H55" s="455"/>
      <c r="I55" s="455"/>
      <c r="J55" s="455"/>
      <c r="K55" s="34">
        <f>K31*K54</f>
        <v>3.703703703703703E-4</v>
      </c>
      <c r="L55" s="12" t="e">
        <f t="shared" si="0"/>
        <v>#REF!</v>
      </c>
    </row>
    <row r="56" spans="2:12">
      <c r="B56" s="90" t="s">
        <v>10</v>
      </c>
      <c r="C56" s="455" t="s">
        <v>182</v>
      </c>
      <c r="D56" s="455"/>
      <c r="E56" s="455"/>
      <c r="F56" s="455"/>
      <c r="G56" s="455"/>
      <c r="H56" s="455"/>
      <c r="I56" s="455"/>
      <c r="J56" s="455"/>
      <c r="K56" s="34">
        <f>0.5*K55</f>
        <v>1.8518518518518515E-4</v>
      </c>
      <c r="L56" s="12" t="e">
        <f t="shared" si="0"/>
        <v>#REF!</v>
      </c>
    </row>
    <row r="57" spans="2:12">
      <c r="B57" s="90" t="s">
        <v>12</v>
      </c>
      <c r="C57" s="455" t="s">
        <v>184</v>
      </c>
      <c r="D57" s="455"/>
      <c r="E57" s="455"/>
      <c r="F57" s="455"/>
      <c r="G57" s="455"/>
      <c r="H57" s="455"/>
      <c r="I57" s="455"/>
      <c r="J57" s="455"/>
      <c r="K57" s="34">
        <v>4.0000000000000002E-4</v>
      </c>
      <c r="L57" s="12" t="e">
        <f t="shared" si="0"/>
        <v>#REF!</v>
      </c>
    </row>
    <row r="58" spans="2:12">
      <c r="B58" s="90" t="s">
        <v>14</v>
      </c>
      <c r="C58" s="455" t="s">
        <v>183</v>
      </c>
      <c r="D58" s="455"/>
      <c r="E58" s="455"/>
      <c r="F58" s="455"/>
      <c r="G58" s="455"/>
      <c r="H58" s="455"/>
      <c r="I58" s="455"/>
      <c r="J58" s="455"/>
      <c r="K58" s="34">
        <f>K34*K57</f>
        <v>1.5075555555555558E-4</v>
      </c>
      <c r="L58" s="12" t="e">
        <f t="shared" si="0"/>
        <v>#REF!</v>
      </c>
    </row>
    <row r="59" spans="2:12">
      <c r="B59" s="90" t="s">
        <v>1</v>
      </c>
      <c r="C59" s="455" t="s">
        <v>185</v>
      </c>
      <c r="D59" s="455"/>
      <c r="E59" s="455"/>
      <c r="F59" s="455"/>
      <c r="G59" s="455"/>
      <c r="H59" s="455"/>
      <c r="I59" s="455"/>
      <c r="J59" s="455"/>
      <c r="K59" s="96">
        <f>0.5*0.08*K57</f>
        <v>1.6000000000000003E-5</v>
      </c>
      <c r="L59" s="12" t="e">
        <f t="shared" si="0"/>
        <v>#REF!</v>
      </c>
    </row>
    <row r="60" spans="2:12" ht="15" customHeight="1">
      <c r="B60" s="474" t="s">
        <v>181</v>
      </c>
      <c r="C60" s="475"/>
      <c r="D60" s="475"/>
      <c r="E60" s="475"/>
      <c r="F60" s="475"/>
      <c r="G60" s="475"/>
      <c r="H60" s="475"/>
      <c r="I60" s="475"/>
      <c r="J60" s="476"/>
      <c r="K60" s="101"/>
      <c r="L60" s="102" t="e">
        <f>SUM(L54:L59)</f>
        <v>#REF!</v>
      </c>
    </row>
    <row r="61" spans="2:12">
      <c r="B61" s="20"/>
      <c r="C61" s="16"/>
      <c r="D61" s="16"/>
      <c r="E61" s="20"/>
      <c r="F61" s="20"/>
      <c r="G61" s="20"/>
      <c r="H61" s="20"/>
      <c r="I61" s="21"/>
      <c r="J61" s="22"/>
      <c r="K61" s="20"/>
    </row>
    <row r="62" spans="2:12">
      <c r="B62" s="454" t="s">
        <v>186</v>
      </c>
      <c r="C62" s="454"/>
      <c r="D62" s="454"/>
      <c r="E62" s="454"/>
      <c r="F62" s="454"/>
      <c r="G62" s="454"/>
      <c r="H62" s="454"/>
      <c r="I62" s="454"/>
      <c r="J62" s="454"/>
      <c r="K62" s="97"/>
      <c r="L62" s="98"/>
    </row>
    <row r="63" spans="2:12">
      <c r="B63" s="446" t="s">
        <v>191</v>
      </c>
      <c r="C63" s="447"/>
      <c r="D63" s="447"/>
      <c r="E63" s="447"/>
      <c r="F63" s="447"/>
      <c r="G63" s="447"/>
      <c r="H63" s="447"/>
      <c r="I63" s="447"/>
      <c r="J63" s="447"/>
      <c r="K63" s="92" t="s">
        <v>9</v>
      </c>
      <c r="L63" s="12" t="s">
        <v>166</v>
      </c>
    </row>
    <row r="64" spans="2:12">
      <c r="B64" s="69" t="s">
        <v>4</v>
      </c>
      <c r="C64" s="421" t="s">
        <v>187</v>
      </c>
      <c r="D64" s="421"/>
      <c r="E64" s="421"/>
      <c r="F64" s="421"/>
      <c r="G64" s="421"/>
      <c r="H64" s="421"/>
      <c r="I64" s="421"/>
      <c r="J64" s="421"/>
      <c r="K64" s="41">
        <f>1/12</f>
        <v>8.3333333333333329E-2</v>
      </c>
      <c r="L64" s="12" t="e">
        <f t="shared" ref="L64:L69" si="1">K64*$L$17</f>
        <v>#REF!</v>
      </c>
    </row>
    <row r="65" spans="2:13">
      <c r="B65" s="69" t="s">
        <v>6</v>
      </c>
      <c r="C65" s="455" t="s">
        <v>188</v>
      </c>
      <c r="D65" s="455"/>
      <c r="E65" s="455"/>
      <c r="F65" s="455"/>
      <c r="G65" s="456" t="s">
        <v>29</v>
      </c>
      <c r="H65" s="456"/>
      <c r="I65" s="456"/>
      <c r="J65" s="42">
        <v>3</v>
      </c>
      <c r="K65" s="41">
        <f>J65/30/12</f>
        <v>8.3333333333333332E-3</v>
      </c>
      <c r="L65" s="12" t="e">
        <f t="shared" si="1"/>
        <v>#REF!</v>
      </c>
      <c r="M65" s="1" t="s">
        <v>168</v>
      </c>
    </row>
    <row r="66" spans="2:13">
      <c r="B66" s="69" t="s">
        <v>10</v>
      </c>
      <c r="C66" s="455" t="s">
        <v>30</v>
      </c>
      <c r="D66" s="455"/>
      <c r="E66" s="455"/>
      <c r="F66" s="455"/>
      <c r="G66" s="456" t="s">
        <v>28</v>
      </c>
      <c r="H66" s="456"/>
      <c r="I66" s="36">
        <v>1.4999999999999999E-2</v>
      </c>
      <c r="J66" s="43">
        <v>5</v>
      </c>
      <c r="K66" s="41">
        <f>J66/30/12*I66</f>
        <v>2.0833333333333332E-4</v>
      </c>
      <c r="L66" s="12" t="e">
        <f t="shared" si="1"/>
        <v>#REF!</v>
      </c>
    </row>
    <row r="67" spans="2:13">
      <c r="B67" s="69" t="s">
        <v>12</v>
      </c>
      <c r="C67" s="456" t="s">
        <v>189</v>
      </c>
      <c r="D67" s="456"/>
      <c r="E67" s="456"/>
      <c r="F67" s="42"/>
      <c r="G67" s="456" t="s">
        <v>28</v>
      </c>
      <c r="H67" s="456"/>
      <c r="I67" s="36">
        <v>7.7999999999999996E-3</v>
      </c>
      <c r="J67" s="44">
        <v>15</v>
      </c>
      <c r="K67" s="41">
        <f>J67/30/12*I67</f>
        <v>3.2499999999999999E-4</v>
      </c>
      <c r="L67" s="12" t="e">
        <f t="shared" si="1"/>
        <v>#REF!</v>
      </c>
    </row>
    <row r="68" spans="2:13">
      <c r="B68" s="69" t="s">
        <v>14</v>
      </c>
      <c r="C68" s="456" t="s">
        <v>190</v>
      </c>
      <c r="D68" s="456"/>
      <c r="E68" s="456"/>
      <c r="F68" s="42"/>
      <c r="G68" s="457"/>
      <c r="H68" s="456"/>
      <c r="I68" s="36"/>
      <c r="J68" s="44"/>
      <c r="K68" s="41">
        <v>6.1000000000000004E-3</v>
      </c>
      <c r="L68" s="12" t="e">
        <f t="shared" si="1"/>
        <v>#REF!</v>
      </c>
      <c r="M68" s="64" t="s">
        <v>168</v>
      </c>
    </row>
    <row r="69" spans="2:13">
      <c r="B69" s="69" t="s">
        <v>1</v>
      </c>
      <c r="C69" s="458" t="s">
        <v>0</v>
      </c>
      <c r="D69" s="458"/>
      <c r="E69" s="458" t="s">
        <v>31</v>
      </c>
      <c r="F69" s="458"/>
      <c r="G69" s="458"/>
      <c r="H69" s="458"/>
      <c r="I69" s="458"/>
      <c r="J69" s="458"/>
      <c r="K69" s="45"/>
      <c r="L69" s="12" t="e">
        <f t="shared" si="1"/>
        <v>#REF!</v>
      </c>
      <c r="M69" s="64"/>
    </row>
    <row r="70" spans="2:13">
      <c r="B70" s="451" t="s">
        <v>192</v>
      </c>
      <c r="C70" s="452"/>
      <c r="D70" s="452"/>
      <c r="E70" s="452"/>
      <c r="F70" s="452"/>
      <c r="G70" s="452"/>
      <c r="H70" s="452"/>
      <c r="I70" s="452"/>
      <c r="J70" s="453"/>
      <c r="K70" s="46"/>
      <c r="L70" s="12" t="e">
        <f>SUM(L64:L69)</f>
        <v>#REF!</v>
      </c>
    </row>
    <row r="71" spans="2:13">
      <c r="B71" s="93"/>
      <c r="C71" s="94"/>
      <c r="D71" s="94"/>
      <c r="E71" s="94"/>
      <c r="F71" s="94"/>
      <c r="G71" s="94"/>
      <c r="H71" s="94"/>
      <c r="I71" s="94"/>
      <c r="J71" s="95"/>
      <c r="K71" s="34"/>
      <c r="L71" s="12"/>
    </row>
    <row r="72" spans="2:13">
      <c r="B72" s="446" t="s">
        <v>193</v>
      </c>
      <c r="C72" s="447"/>
      <c r="D72" s="447"/>
      <c r="E72" s="447"/>
      <c r="F72" s="447"/>
      <c r="G72" s="447"/>
      <c r="H72" s="447"/>
      <c r="I72" s="447"/>
      <c r="J72" s="447"/>
      <c r="K72" s="92" t="s">
        <v>9</v>
      </c>
      <c r="L72" s="12" t="s">
        <v>166</v>
      </c>
    </row>
    <row r="73" spans="2:13">
      <c r="B73" s="90" t="s">
        <v>4</v>
      </c>
      <c r="C73" s="421" t="s">
        <v>194</v>
      </c>
      <c r="D73" s="421"/>
      <c r="E73" s="421"/>
      <c r="F73" s="421"/>
      <c r="G73" s="421"/>
      <c r="H73" s="421"/>
      <c r="I73" s="421"/>
      <c r="J73" s="421"/>
      <c r="K73" s="41">
        <v>0</v>
      </c>
      <c r="L73" s="12" t="e">
        <f>K73*$L$17</f>
        <v>#REF!</v>
      </c>
    </row>
    <row r="74" spans="2:13">
      <c r="B74" s="451" t="s">
        <v>195</v>
      </c>
      <c r="C74" s="452"/>
      <c r="D74" s="452"/>
      <c r="E74" s="452"/>
      <c r="F74" s="452"/>
      <c r="G74" s="452"/>
      <c r="H74" s="452"/>
      <c r="I74" s="452"/>
      <c r="J74" s="453"/>
      <c r="K74" s="46"/>
      <c r="L74" s="12" t="e">
        <f>SUM(L73:L73)</f>
        <v>#REF!</v>
      </c>
    </row>
    <row r="75" spans="2:13">
      <c r="B75" s="93"/>
      <c r="C75" s="94"/>
      <c r="D75" s="94"/>
      <c r="E75" s="94"/>
      <c r="F75" s="94"/>
      <c r="G75" s="94"/>
      <c r="H75" s="94"/>
      <c r="I75" s="94"/>
      <c r="J75" s="94"/>
      <c r="K75" s="99"/>
      <c r="L75" s="12"/>
    </row>
    <row r="76" spans="2:13">
      <c r="B76" s="473" t="s">
        <v>196</v>
      </c>
      <c r="C76" s="473"/>
      <c r="D76" s="473"/>
      <c r="E76" s="473"/>
      <c r="F76" s="473"/>
      <c r="G76" s="473"/>
      <c r="H76" s="473"/>
      <c r="I76" s="473"/>
      <c r="J76" s="473"/>
      <c r="K76" s="473"/>
      <c r="L76" s="7" t="e">
        <f>L34</f>
        <v>#REF!</v>
      </c>
    </row>
    <row r="77" spans="2:13">
      <c r="B77" s="90" t="s">
        <v>197</v>
      </c>
      <c r="C77" s="448" t="s">
        <v>188</v>
      </c>
      <c r="D77" s="449"/>
      <c r="E77" s="449"/>
      <c r="F77" s="449"/>
      <c r="G77" s="449"/>
      <c r="H77" s="449"/>
      <c r="I77" s="449"/>
      <c r="J77" s="450"/>
      <c r="K77" s="80"/>
      <c r="L77" s="12" t="e">
        <f>L70</f>
        <v>#REF!</v>
      </c>
    </row>
    <row r="78" spans="2:13">
      <c r="B78" s="90" t="s">
        <v>198</v>
      </c>
      <c r="C78" s="448" t="s">
        <v>199</v>
      </c>
      <c r="D78" s="449"/>
      <c r="E78" s="449"/>
      <c r="F78" s="449"/>
      <c r="G78" s="449"/>
      <c r="H78" s="449"/>
      <c r="I78" s="449"/>
      <c r="J78" s="450"/>
      <c r="K78" s="80"/>
      <c r="L78" s="12" t="e">
        <f>L74</f>
        <v>#REF!</v>
      </c>
    </row>
    <row r="79" spans="2:13">
      <c r="B79" s="474" t="s">
        <v>200</v>
      </c>
      <c r="C79" s="475"/>
      <c r="D79" s="475"/>
      <c r="E79" s="475"/>
      <c r="F79" s="475"/>
      <c r="G79" s="475"/>
      <c r="H79" s="475"/>
      <c r="I79" s="475"/>
      <c r="J79" s="476"/>
      <c r="K79" s="101"/>
      <c r="L79" s="102" t="e">
        <f>SUM(L77:L78)</f>
        <v>#REF!</v>
      </c>
    </row>
    <row r="80" spans="2:13">
      <c r="B80" s="461"/>
      <c r="C80" s="462"/>
      <c r="D80" s="462"/>
      <c r="E80" s="462"/>
      <c r="F80" s="462"/>
      <c r="G80" s="462"/>
      <c r="H80" s="462"/>
      <c r="I80" s="462"/>
      <c r="J80" s="462"/>
      <c r="K80" s="462"/>
      <c r="L80" s="462"/>
    </row>
    <row r="81" spans="2:13">
      <c r="B81" s="454" t="s">
        <v>201</v>
      </c>
      <c r="C81" s="454"/>
      <c r="D81" s="454"/>
      <c r="E81" s="454"/>
      <c r="F81" s="454"/>
      <c r="G81" s="454"/>
      <c r="H81" s="454"/>
      <c r="I81" s="454"/>
      <c r="J81" s="454"/>
      <c r="K81" s="97"/>
      <c r="L81" s="98"/>
      <c r="M81" s="23"/>
    </row>
    <row r="82" spans="2:13">
      <c r="B82" s="69" t="s">
        <v>4</v>
      </c>
      <c r="C82" s="470" t="s">
        <v>54</v>
      </c>
      <c r="D82" s="470"/>
      <c r="E82" s="470"/>
      <c r="F82" s="470"/>
      <c r="G82" s="470"/>
      <c r="H82" s="470"/>
      <c r="I82" s="470"/>
      <c r="J82" s="470"/>
      <c r="K82" s="470"/>
      <c r="L82" s="12" t="e">
        <f>#REF!</f>
        <v>#REF!</v>
      </c>
    </row>
    <row r="83" spans="2:13">
      <c r="B83" s="69" t="s">
        <v>6</v>
      </c>
      <c r="C83" s="408" t="s">
        <v>203</v>
      </c>
      <c r="D83" s="409"/>
      <c r="E83" s="410" t="s">
        <v>55</v>
      </c>
      <c r="F83" s="411"/>
      <c r="G83" s="411"/>
      <c r="H83" s="411"/>
      <c r="I83" s="412"/>
      <c r="J83" s="471">
        <v>0.12</v>
      </c>
      <c r="K83" s="472"/>
      <c r="L83" s="19" t="e">
        <f>(L17+L51+L60+L79+L82)/(1-J83)*J83</f>
        <v>#REF!</v>
      </c>
      <c r="M83" s="24"/>
    </row>
    <row r="84" spans="2:13">
      <c r="B84" s="91" t="s">
        <v>210</v>
      </c>
      <c r="C84" s="408" t="s">
        <v>211</v>
      </c>
      <c r="D84" s="409"/>
      <c r="E84" s="410"/>
      <c r="F84" s="411"/>
      <c r="G84" s="411"/>
      <c r="H84" s="411"/>
      <c r="I84" s="412"/>
      <c r="J84" s="413">
        <f>H95+H96</f>
        <v>9.2499999999999999E-2</v>
      </c>
      <c r="K84" s="414"/>
      <c r="L84" s="19" t="e">
        <f>-J84*L83</f>
        <v>#REF!</v>
      </c>
      <c r="M84" s="24"/>
    </row>
    <row r="85" spans="2:13">
      <c r="B85" s="90" t="s">
        <v>10</v>
      </c>
      <c r="C85" s="83" t="s">
        <v>202</v>
      </c>
      <c r="D85" s="84"/>
      <c r="E85" s="85"/>
      <c r="F85" s="86"/>
      <c r="G85" s="86"/>
      <c r="H85" s="86"/>
      <c r="I85" s="87"/>
      <c r="J85" s="88"/>
      <c r="K85" s="89"/>
      <c r="L85" s="19"/>
      <c r="M85" s="24"/>
    </row>
    <row r="86" spans="2:13">
      <c r="B86" s="69" t="s">
        <v>204</v>
      </c>
      <c r="C86" s="458" t="s">
        <v>0</v>
      </c>
      <c r="D86" s="458"/>
      <c r="E86" s="458"/>
      <c r="F86" s="458"/>
      <c r="G86" s="458"/>
      <c r="H86" s="458"/>
      <c r="I86" s="458"/>
      <c r="J86" s="458"/>
      <c r="K86" s="458"/>
      <c r="L86" s="19">
        <v>0</v>
      </c>
    </row>
    <row r="87" spans="2:13">
      <c r="B87" s="474" t="s">
        <v>207</v>
      </c>
      <c r="C87" s="475"/>
      <c r="D87" s="475"/>
      <c r="E87" s="475"/>
      <c r="F87" s="475"/>
      <c r="G87" s="475"/>
      <c r="H87" s="475"/>
      <c r="I87" s="475"/>
      <c r="J87" s="476"/>
      <c r="K87" s="101"/>
      <c r="L87" s="102" t="e">
        <f>SUM(L82:L86)</f>
        <v>#REF!</v>
      </c>
    </row>
    <row r="88" spans="2:13">
      <c r="B88" s="25"/>
      <c r="C88" s="25"/>
      <c r="D88" s="25"/>
      <c r="E88" s="25"/>
      <c r="F88" s="25"/>
      <c r="G88" s="25"/>
      <c r="H88" s="25"/>
      <c r="I88" s="71"/>
      <c r="J88" s="25"/>
      <c r="K88" s="25"/>
    </row>
    <row r="89" spans="2:13">
      <c r="B89" s="16"/>
      <c r="C89" s="16"/>
      <c r="D89" s="16"/>
      <c r="E89" s="16"/>
      <c r="F89" s="16"/>
      <c r="G89" s="16"/>
      <c r="H89" s="48"/>
      <c r="I89" s="48"/>
      <c r="J89" s="48"/>
      <c r="K89" s="48"/>
      <c r="L89" s="49"/>
    </row>
    <row r="90" spans="2:13">
      <c r="B90" s="454" t="s">
        <v>205</v>
      </c>
      <c r="C90" s="454"/>
      <c r="D90" s="454"/>
      <c r="E90" s="454"/>
      <c r="F90" s="454"/>
      <c r="G90" s="454"/>
      <c r="H90" s="454"/>
      <c r="I90" s="454"/>
      <c r="J90" s="454"/>
      <c r="K90" s="97"/>
      <c r="L90" s="98" t="str">
        <f>L5</f>
        <v>SERVENTE</v>
      </c>
    </row>
    <row r="91" spans="2:13">
      <c r="B91" s="69" t="s">
        <v>4</v>
      </c>
      <c r="C91" s="421" t="s">
        <v>206</v>
      </c>
      <c r="D91" s="421"/>
      <c r="E91" s="421"/>
      <c r="F91" s="421"/>
      <c r="G91" s="421"/>
      <c r="H91" s="421"/>
      <c r="I91" s="421"/>
      <c r="J91" s="421"/>
      <c r="K91" s="65">
        <v>0.05</v>
      </c>
      <c r="L91" s="28" t="e">
        <f>K91*L110</f>
        <v>#REF!</v>
      </c>
      <c r="M91" s="50"/>
    </row>
    <row r="92" spans="2:13">
      <c r="B92" s="69" t="s">
        <v>6</v>
      </c>
      <c r="C92" s="421" t="s">
        <v>32</v>
      </c>
      <c r="D92" s="421"/>
      <c r="E92" s="421"/>
      <c r="F92" s="421"/>
      <c r="G92" s="421"/>
      <c r="H92" s="421"/>
      <c r="I92" s="421"/>
      <c r="J92" s="421"/>
      <c r="K92" s="65">
        <v>6.8099999999999994E-2</v>
      </c>
      <c r="L92" s="28" t="e">
        <f>K92*L110</f>
        <v>#REF!</v>
      </c>
      <c r="M92" s="50"/>
    </row>
    <row r="93" spans="2:13">
      <c r="B93" s="427" t="s">
        <v>10</v>
      </c>
      <c r="C93" s="435" t="s">
        <v>33</v>
      </c>
      <c r="D93" s="436"/>
      <c r="E93" s="436"/>
      <c r="F93" s="436"/>
      <c r="G93" s="436"/>
      <c r="H93" s="436"/>
      <c r="I93" s="437"/>
      <c r="J93" s="438" t="e">
        <f>L110+L91+L92</f>
        <v>#REF!</v>
      </c>
      <c r="K93" s="439"/>
      <c r="L93" s="47"/>
    </row>
    <row r="94" spans="2:13">
      <c r="B94" s="427"/>
      <c r="C94" s="440" t="s">
        <v>34</v>
      </c>
      <c r="D94" s="441"/>
      <c r="E94" s="441"/>
      <c r="F94" s="442"/>
      <c r="G94" s="70"/>
      <c r="H94" s="70" t="s">
        <v>35</v>
      </c>
      <c r="I94" s="70"/>
      <c r="J94" s="443"/>
      <c r="K94" s="444"/>
      <c r="L94" s="47"/>
    </row>
    <row r="95" spans="2:13">
      <c r="B95" s="427"/>
      <c r="C95" s="434" t="s">
        <v>36</v>
      </c>
      <c r="D95" s="434"/>
      <c r="E95" s="434"/>
      <c r="F95" s="434"/>
      <c r="G95" s="68" t="s">
        <v>37</v>
      </c>
      <c r="H95" s="35">
        <v>1.6500000000000001E-2</v>
      </c>
      <c r="I95" s="445">
        <f>SUM(H95:H100)</f>
        <v>0.13250000000000001</v>
      </c>
      <c r="J95" s="432" t="e">
        <f t="shared" ref="J95:J100" si="2">ROUND($L$112*H95,2)</f>
        <v>#REF!</v>
      </c>
      <c r="K95" s="433"/>
      <c r="L95" s="429" t="e">
        <f>SUM(J95:K100)</f>
        <v>#REF!</v>
      </c>
    </row>
    <row r="96" spans="2:13">
      <c r="B96" s="427"/>
      <c r="C96" s="434"/>
      <c r="D96" s="434"/>
      <c r="E96" s="434"/>
      <c r="F96" s="434"/>
      <c r="G96" s="68" t="s">
        <v>38</v>
      </c>
      <c r="H96" s="35">
        <v>7.5999999999999998E-2</v>
      </c>
      <c r="I96" s="445"/>
      <c r="J96" s="432" t="e">
        <f t="shared" si="2"/>
        <v>#REF!</v>
      </c>
      <c r="K96" s="433"/>
      <c r="L96" s="430"/>
    </row>
    <row r="97" spans="2:12">
      <c r="B97" s="427"/>
      <c r="C97" s="434"/>
      <c r="D97" s="434"/>
      <c r="E97" s="434"/>
      <c r="F97" s="434"/>
      <c r="G97" s="68" t="s">
        <v>39</v>
      </c>
      <c r="H97" s="35">
        <v>0</v>
      </c>
      <c r="I97" s="445"/>
      <c r="J97" s="432" t="e">
        <f t="shared" si="2"/>
        <v>#REF!</v>
      </c>
      <c r="K97" s="433"/>
      <c r="L97" s="430"/>
    </row>
    <row r="98" spans="2:12">
      <c r="B98" s="427"/>
      <c r="C98" s="434" t="s">
        <v>40</v>
      </c>
      <c r="D98" s="434"/>
      <c r="E98" s="434"/>
      <c r="F98" s="434"/>
      <c r="G98" s="67" t="s">
        <v>41</v>
      </c>
      <c r="H98" s="35">
        <v>0.04</v>
      </c>
      <c r="I98" s="445"/>
      <c r="J98" s="432" t="e">
        <f t="shared" si="2"/>
        <v>#REF!</v>
      </c>
      <c r="K98" s="433"/>
      <c r="L98" s="430"/>
    </row>
    <row r="99" spans="2:12">
      <c r="B99" s="427"/>
      <c r="C99" s="434"/>
      <c r="D99" s="434"/>
      <c r="E99" s="434"/>
      <c r="F99" s="434"/>
      <c r="G99" s="67" t="s">
        <v>39</v>
      </c>
      <c r="H99" s="35">
        <v>0</v>
      </c>
      <c r="I99" s="445"/>
      <c r="J99" s="432" t="e">
        <f t="shared" si="2"/>
        <v>#REF!</v>
      </c>
      <c r="K99" s="433"/>
      <c r="L99" s="430"/>
    </row>
    <row r="100" spans="2:12">
      <c r="B100" s="427"/>
      <c r="C100" s="434" t="s">
        <v>42</v>
      </c>
      <c r="D100" s="434"/>
      <c r="E100" s="434"/>
      <c r="F100" s="434"/>
      <c r="G100" s="67"/>
      <c r="H100" s="35">
        <v>0</v>
      </c>
      <c r="I100" s="445"/>
      <c r="J100" s="432" t="e">
        <f t="shared" si="2"/>
        <v>#REF!</v>
      </c>
      <c r="K100" s="433"/>
      <c r="L100" s="431"/>
    </row>
    <row r="101" spans="2:12">
      <c r="B101" s="427" t="s">
        <v>43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60" t="e">
        <f>L95+L92+L91</f>
        <v>#REF!</v>
      </c>
    </row>
    <row r="102" spans="2:12">
      <c r="B102" s="51"/>
      <c r="C102" s="51"/>
      <c r="D102" s="51"/>
      <c r="E102" s="51"/>
      <c r="F102" s="51"/>
      <c r="G102" s="51"/>
      <c r="H102" s="51"/>
      <c r="I102" s="52"/>
      <c r="J102" s="53"/>
      <c r="K102" s="51"/>
    </row>
    <row r="103" spans="2:12">
      <c r="B103" s="428" t="s">
        <v>44</v>
      </c>
      <c r="C103" s="428"/>
      <c r="D103" s="428"/>
      <c r="E103" s="428"/>
      <c r="F103" s="428"/>
      <c r="G103" s="428"/>
      <c r="H103" s="428"/>
      <c r="I103" s="428"/>
      <c r="J103" s="428"/>
      <c r="K103" s="428"/>
      <c r="L103" s="428"/>
    </row>
    <row r="104" spans="2:12">
      <c r="B104" s="422" t="s">
        <v>45</v>
      </c>
      <c r="C104" s="422"/>
      <c r="D104" s="422"/>
      <c r="E104" s="422"/>
      <c r="F104" s="422"/>
      <c r="G104" s="422"/>
      <c r="H104" s="422"/>
      <c r="I104" s="422"/>
      <c r="J104" s="422"/>
      <c r="K104" s="422"/>
      <c r="L104" s="7" t="str">
        <f>L5</f>
        <v>SERVENTE</v>
      </c>
    </row>
    <row r="105" spans="2:12">
      <c r="B105" s="69" t="s">
        <v>4</v>
      </c>
      <c r="C105" s="421" t="str">
        <f>B6</f>
        <v xml:space="preserve">MÓDULO 01 – Composição da Remuneração </v>
      </c>
      <c r="D105" s="421"/>
      <c r="E105" s="421"/>
      <c r="F105" s="421"/>
      <c r="G105" s="421"/>
      <c r="H105" s="421"/>
      <c r="I105" s="421"/>
      <c r="J105" s="421"/>
      <c r="K105" s="421"/>
      <c r="L105" s="54" t="e">
        <f>L17</f>
        <v>#REF!</v>
      </c>
    </row>
    <row r="106" spans="2:12">
      <c r="B106" s="69" t="s">
        <v>6</v>
      </c>
      <c r="C106" s="421" t="str">
        <f>B19</f>
        <v>MÓDULO 2 – ENCARGOS E BENEFÍCIOS ANUAIS, MENSAIS E DIÁRIOS</v>
      </c>
      <c r="D106" s="421"/>
      <c r="E106" s="421"/>
      <c r="F106" s="421"/>
      <c r="G106" s="421"/>
      <c r="H106" s="421"/>
      <c r="I106" s="421"/>
      <c r="J106" s="421"/>
      <c r="K106" s="421"/>
      <c r="L106" s="54" t="e">
        <f>L51</f>
        <v>#REF!</v>
      </c>
    </row>
    <row r="107" spans="2:12">
      <c r="B107" s="69" t="s">
        <v>10</v>
      </c>
      <c r="C107" s="421" t="str">
        <f>B53</f>
        <v>MÓDULO 3 – PROVISÃO PARA RESCISÃO</v>
      </c>
      <c r="D107" s="421"/>
      <c r="E107" s="421"/>
      <c r="F107" s="421"/>
      <c r="G107" s="421"/>
      <c r="H107" s="421"/>
      <c r="I107" s="421"/>
      <c r="J107" s="421"/>
      <c r="K107" s="421"/>
      <c r="L107" s="54" t="e">
        <f>L60</f>
        <v>#REF!</v>
      </c>
    </row>
    <row r="108" spans="2:12">
      <c r="B108" s="69" t="s">
        <v>12</v>
      </c>
      <c r="C108" s="421" t="str">
        <f>B62</f>
        <v>MÓDULO 4 – CUSTO DE REPOSIÇÃO DO PROFISSIONAL AUSENTE</v>
      </c>
      <c r="D108" s="421"/>
      <c r="E108" s="421"/>
      <c r="F108" s="421"/>
      <c r="G108" s="421"/>
      <c r="H108" s="421"/>
      <c r="I108" s="421"/>
      <c r="J108" s="421"/>
      <c r="K108" s="421"/>
      <c r="L108" s="54" t="e">
        <f>L79</f>
        <v>#REF!</v>
      </c>
    </row>
    <row r="109" spans="2:12">
      <c r="B109" s="90" t="s">
        <v>14</v>
      </c>
      <c r="C109" s="421" t="str">
        <f>B81</f>
        <v>MÓDULO 5 – INSUMOS DIVERSOS</v>
      </c>
      <c r="D109" s="421"/>
      <c r="E109" s="421"/>
      <c r="F109" s="421"/>
      <c r="G109" s="421"/>
      <c r="H109" s="421"/>
      <c r="I109" s="421"/>
      <c r="J109" s="421"/>
      <c r="K109" s="421"/>
      <c r="L109" s="54" t="e">
        <f>L87</f>
        <v>#REF!</v>
      </c>
    </row>
    <row r="110" spans="2:12">
      <c r="B110" s="422" t="s">
        <v>209</v>
      </c>
      <c r="C110" s="422"/>
      <c r="D110" s="422"/>
      <c r="E110" s="422"/>
      <c r="F110" s="422"/>
      <c r="G110" s="422"/>
      <c r="H110" s="422"/>
      <c r="I110" s="422"/>
      <c r="J110" s="422"/>
      <c r="K110" s="422"/>
      <c r="L110" s="61" t="e">
        <f>SUM(L105:L109)</f>
        <v>#REF!</v>
      </c>
    </row>
    <row r="111" spans="2:12">
      <c r="B111" s="69" t="s">
        <v>14</v>
      </c>
      <c r="C111" s="421" t="s">
        <v>46</v>
      </c>
      <c r="D111" s="421"/>
      <c r="E111" s="421"/>
      <c r="F111" s="421"/>
      <c r="G111" s="421"/>
      <c r="H111" s="421"/>
      <c r="I111" s="421"/>
      <c r="J111" s="421"/>
      <c r="K111" s="421"/>
      <c r="L111" s="55" t="e">
        <f>L112-L110</f>
        <v>#REF!</v>
      </c>
    </row>
    <row r="112" spans="2:12">
      <c r="B112" s="423" t="s">
        <v>47</v>
      </c>
      <c r="C112" s="423"/>
      <c r="D112" s="423"/>
      <c r="E112" s="423"/>
      <c r="F112" s="423"/>
      <c r="G112" s="423"/>
      <c r="H112" s="423"/>
      <c r="I112" s="423"/>
      <c r="J112" s="423"/>
      <c r="K112" s="423"/>
      <c r="L112" s="62" t="e">
        <f>ROUND(J93/(1-$I$95),2)</f>
        <v>#REF!</v>
      </c>
    </row>
    <row r="113" spans="6:12">
      <c r="K113" s="50"/>
    </row>
    <row r="115" spans="6:12">
      <c r="F115" s="424" t="s">
        <v>48</v>
      </c>
      <c r="G115" s="425"/>
      <c r="H115" s="425"/>
      <c r="I115" s="426"/>
      <c r="J115" s="1"/>
      <c r="L115" s="1"/>
    </row>
    <row r="116" spans="6:12">
      <c r="F116" s="424" t="s">
        <v>49</v>
      </c>
      <c r="G116" s="425"/>
      <c r="H116" s="426"/>
      <c r="I116" s="56" t="s">
        <v>9</v>
      </c>
      <c r="J116" s="1"/>
      <c r="L116" s="1"/>
    </row>
    <row r="117" spans="6:12">
      <c r="F117" s="57" t="s">
        <v>50</v>
      </c>
      <c r="G117" s="57"/>
      <c r="H117" s="58"/>
      <c r="I117" s="58">
        <f>K91</f>
        <v>0.05</v>
      </c>
      <c r="J117" s="1"/>
      <c r="L117" s="1"/>
    </row>
    <row r="118" spans="6:12">
      <c r="F118" s="415" t="s">
        <v>32</v>
      </c>
      <c r="G118" s="416"/>
      <c r="H118" s="417"/>
      <c r="I118" s="58">
        <f>K92</f>
        <v>6.8099999999999994E-2</v>
      </c>
      <c r="J118" s="1"/>
      <c r="L118" s="1"/>
    </row>
    <row r="119" spans="6:12">
      <c r="F119" s="57" t="s">
        <v>51</v>
      </c>
      <c r="G119" s="57"/>
      <c r="H119" s="58"/>
      <c r="I119" s="58">
        <f>I95</f>
        <v>0.13250000000000001</v>
      </c>
      <c r="J119" s="1"/>
      <c r="L119" s="1"/>
    </row>
    <row r="120" spans="6:12">
      <c r="F120" s="418" t="s">
        <v>52</v>
      </c>
      <c r="G120" s="419"/>
      <c r="H120" s="420"/>
      <c r="I120" s="58">
        <f>(1+I117)*(1+I118)/(1-I119)-1</f>
        <v>0.29280115273775253</v>
      </c>
      <c r="J120" s="1"/>
      <c r="L120" s="1"/>
    </row>
  </sheetData>
  <mergeCells count="126">
    <mergeCell ref="I59:J59"/>
    <mergeCell ref="G67:H67"/>
    <mergeCell ref="C67:E67"/>
    <mergeCell ref="C68:E68"/>
    <mergeCell ref="B70:J70"/>
    <mergeCell ref="B63:J63"/>
    <mergeCell ref="B87:J87"/>
    <mergeCell ref="B62:J62"/>
    <mergeCell ref="C64:J64"/>
    <mergeCell ref="G68:H68"/>
    <mergeCell ref="C69:J69"/>
    <mergeCell ref="B72:J72"/>
    <mergeCell ref="C73:J73"/>
    <mergeCell ref="G65:I65"/>
    <mergeCell ref="C66:F66"/>
    <mergeCell ref="G66:H66"/>
    <mergeCell ref="C78:J78"/>
    <mergeCell ref="B74:J74"/>
    <mergeCell ref="B76:K76"/>
    <mergeCell ref="C77:J77"/>
    <mergeCell ref="B79:J79"/>
    <mergeCell ref="B80:L80"/>
    <mergeCell ref="B81:J81"/>
    <mergeCell ref="C91:J91"/>
    <mergeCell ref="L95:L100"/>
    <mergeCell ref="J96:K96"/>
    <mergeCell ref="J97:K97"/>
    <mergeCell ref="C98:F99"/>
    <mergeCell ref="J98:K98"/>
    <mergeCell ref="J99:K99"/>
    <mergeCell ref="C94:F94"/>
    <mergeCell ref="J94:K94"/>
    <mergeCell ref="C95:F97"/>
    <mergeCell ref="B90:J90"/>
    <mergeCell ref="C100:F100"/>
    <mergeCell ref="J100:K100"/>
    <mergeCell ref="C92:J92"/>
    <mergeCell ref="B93:B100"/>
    <mergeCell ref="C93:I93"/>
    <mergeCell ref="J93:K93"/>
    <mergeCell ref="F118:H118"/>
    <mergeCell ref="F120:H120"/>
    <mergeCell ref="C108:K108"/>
    <mergeCell ref="B110:K110"/>
    <mergeCell ref="C111:K111"/>
    <mergeCell ref="B112:K112"/>
    <mergeCell ref="F115:I115"/>
    <mergeCell ref="F116:H116"/>
    <mergeCell ref="B101:K101"/>
    <mergeCell ref="B103:L103"/>
    <mergeCell ref="B104:K104"/>
    <mergeCell ref="C105:K105"/>
    <mergeCell ref="C106:K106"/>
    <mergeCell ref="C107:K107"/>
    <mergeCell ref="C109:K109"/>
    <mergeCell ref="I95:I100"/>
    <mergeCell ref="J95:K95"/>
    <mergeCell ref="C28:J28"/>
    <mergeCell ref="C29:J29"/>
    <mergeCell ref="C30:J30"/>
    <mergeCell ref="C32:F32"/>
    <mergeCell ref="C33:J33"/>
    <mergeCell ref="C31:D31"/>
    <mergeCell ref="E31:F31"/>
    <mergeCell ref="G31:J31"/>
    <mergeCell ref="B34:J34"/>
    <mergeCell ref="B36:J36"/>
    <mergeCell ref="C37:J37"/>
    <mergeCell ref="C38:J38"/>
    <mergeCell ref="C39:J39"/>
    <mergeCell ref="C40:J40"/>
    <mergeCell ref="C41:J41"/>
    <mergeCell ref="C42:J42"/>
    <mergeCell ref="C43:J43"/>
    <mergeCell ref="I57:J57"/>
    <mergeCell ref="I55:J55"/>
    <mergeCell ref="C56:H56"/>
    <mergeCell ref="I56:J56"/>
    <mergeCell ref="C58:H58"/>
    <mergeCell ref="I58:J58"/>
    <mergeCell ref="C59:H59"/>
    <mergeCell ref="C86:K86"/>
    <mergeCell ref="B19:K19"/>
    <mergeCell ref="B20:J20"/>
    <mergeCell ref="B23:J23"/>
    <mergeCell ref="C21:J21"/>
    <mergeCell ref="C22:J22"/>
    <mergeCell ref="B45:J45"/>
    <mergeCell ref="C26:J26"/>
    <mergeCell ref="C27:J27"/>
    <mergeCell ref="C44:K44"/>
    <mergeCell ref="C82:K82"/>
    <mergeCell ref="C83:D83"/>
    <mergeCell ref="E83:I83"/>
    <mergeCell ref="J83:K83"/>
    <mergeCell ref="B47:K47"/>
    <mergeCell ref="C48:J48"/>
    <mergeCell ref="C49:J49"/>
    <mergeCell ref="C50:J50"/>
    <mergeCell ref="B51:J51"/>
    <mergeCell ref="B60:J60"/>
    <mergeCell ref="C55:H55"/>
    <mergeCell ref="C12:I12"/>
    <mergeCell ref="C13:I13"/>
    <mergeCell ref="B25:J25"/>
    <mergeCell ref="C84:D84"/>
    <mergeCell ref="E84:I84"/>
    <mergeCell ref="J84:K84"/>
    <mergeCell ref="B2:L2"/>
    <mergeCell ref="B3:L4"/>
    <mergeCell ref="B6:L6"/>
    <mergeCell ref="C7:K7"/>
    <mergeCell ref="C9:E9"/>
    <mergeCell ref="F9:I9"/>
    <mergeCell ref="C8:K8"/>
    <mergeCell ref="C10:I10"/>
    <mergeCell ref="C11:I11"/>
    <mergeCell ref="C14:I14"/>
    <mergeCell ref="C15:K15"/>
    <mergeCell ref="C16:K16"/>
    <mergeCell ref="B17:K17"/>
    <mergeCell ref="C57:H57"/>
    <mergeCell ref="B53:J53"/>
    <mergeCell ref="C54:H54"/>
    <mergeCell ref="B52:L52"/>
    <mergeCell ref="C65:F65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41</vt:i4>
      </vt:variant>
    </vt:vector>
  </HeadingPairs>
  <TitlesOfParts>
    <vt:vector size="57" baseType="lpstr">
      <vt:lpstr>Plan. Auxiliar</vt:lpstr>
      <vt:lpstr>"03" Laborat.</vt:lpstr>
      <vt:lpstr>"04" Almoxarifados</vt:lpstr>
      <vt:lpstr>"05" Oficinas</vt:lpstr>
      <vt:lpstr>"06" Esp.Livres</vt:lpstr>
      <vt:lpstr>"08" P. Adj e Cont.</vt:lpstr>
      <vt:lpstr>"09" Varrição</vt:lpstr>
      <vt:lpstr>"10" Pat. e Áreas Verdes</vt:lpstr>
      <vt:lpstr>"14" Fachada Envidraçada</vt:lpstr>
      <vt:lpstr>MATERIAL E EQUI</vt:lpstr>
      <vt:lpstr>RESUMO</vt:lpstr>
      <vt:lpstr>M²</vt:lpstr>
      <vt:lpstr>M² 2</vt:lpstr>
      <vt:lpstr>Servente 24h</vt:lpstr>
      <vt:lpstr>Jardineiro 8h-1x mês</vt:lpstr>
      <vt:lpstr>UNIFORMES</vt:lpstr>
      <vt:lpstr>Aparecida</vt:lpstr>
      <vt:lpstr>Araçatuba</vt:lpstr>
      <vt:lpstr>'Jardineiro 8h-1x mês'!Area_de_impressao</vt:lpstr>
      <vt:lpstr>'MATERIAL E EQUI'!Area_de_impressao</vt:lpstr>
      <vt:lpstr>RESUMO!Area_de_impressao</vt:lpstr>
      <vt:lpstr>'Servente 24h'!Area_de_impressao</vt:lpstr>
      <vt:lpstr>Arujá</vt:lpstr>
      <vt:lpstr>Atibaia</vt:lpstr>
      <vt:lpstr>Barra_do_Turvo</vt:lpstr>
      <vt:lpstr>Bauru</vt:lpstr>
      <vt:lpstr>Caçapava</vt:lpstr>
      <vt:lpstr>Cachoeira_Paulista</vt:lpstr>
      <vt:lpstr>Cajati</vt:lpstr>
      <vt:lpstr>Campinas</vt:lpstr>
      <vt:lpstr>Del_05_Posto_Barra_do_Turvo</vt:lpstr>
      <vt:lpstr>Del_10_Marília</vt:lpstr>
      <vt:lpstr>Guaiçara</vt:lpstr>
      <vt:lpstr>Guarulhos</vt:lpstr>
      <vt:lpstr>Itapecerica_da_Serra</vt:lpstr>
      <vt:lpstr>Lavrinhas</vt:lpstr>
      <vt:lpstr>Marília</vt:lpstr>
      <vt:lpstr>Miracatu</vt:lpstr>
      <vt:lpstr>Municípios</vt:lpstr>
      <vt:lpstr>Osasco</vt:lpstr>
      <vt:lpstr>Ourinhos</vt:lpstr>
      <vt:lpstr>Piquete</vt:lpstr>
      <vt:lpstr>Piracicaba</vt:lpstr>
      <vt:lpstr>Presidente_Prudente</vt:lpstr>
      <vt:lpstr>PSF_Campinas</vt:lpstr>
      <vt:lpstr>PSU_Marília</vt:lpstr>
      <vt:lpstr>Registro</vt:lpstr>
      <vt:lpstr>Ribeirão_Preto</vt:lpstr>
      <vt:lpstr>Roseira</vt:lpstr>
      <vt:lpstr>Santos</vt:lpstr>
      <vt:lpstr>São_José_do_Rio_Preto</vt:lpstr>
      <vt:lpstr>São_José_dos_Campos</vt:lpstr>
      <vt:lpstr>São_Paulo</vt:lpstr>
      <vt:lpstr>Sorocaba</vt:lpstr>
      <vt:lpstr>Taubaté</vt:lpstr>
      <vt:lpstr>Ubatuba</vt:lpstr>
      <vt:lpstr>Vargem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Hernani Kanda</cp:lastModifiedBy>
  <cp:lastPrinted>2019-05-20T19:20:02Z</cp:lastPrinted>
  <dcterms:created xsi:type="dcterms:W3CDTF">2016-05-03T22:07:00Z</dcterms:created>
  <dcterms:modified xsi:type="dcterms:W3CDTF">2019-07-13T13:47:53Z</dcterms:modified>
</cp:coreProperties>
</file>