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an O. Gonçalves\Desktop\JEAN\KG Engenharia\Serviços\Serviço - CRM Telhado\REV03\"/>
    </mc:Choice>
  </mc:AlternateContent>
  <xr:revisionPtr revIDLastSave="0" documentId="13_ncr:1_{A8DACD2C-B108-4623-B667-9E1E7F1917D1}" xr6:coauthVersionLast="47" xr6:coauthVersionMax="47" xr10:uidLastSave="{00000000-0000-0000-0000-000000000000}"/>
  <bookViews>
    <workbookView xWindow="-108" yWindow="-108" windowWidth="23256" windowHeight="12576" tabRatio="691" xr2:uid="{5FF0EF76-D111-4E9F-8794-1FDEE9D7E6EA}"/>
  </bookViews>
  <sheets>
    <sheet name="PLANILHA ORÇAMENTÁRIA" sheetId="2" r:id="rId1"/>
    <sheet name="CRONOGRAMA" sheetId="8" r:id="rId2"/>
    <sheet name="CÁLCULO BDI" sheetId="6" r:id="rId3"/>
    <sheet name="ESTRUTURA ORÇ. COMPLEMENTAR" sheetId="5" r:id="rId4"/>
    <sheet name="COTAÇÕES P. ORÇ COMPLEMENTAR" sheetId="7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5" i="2" l="1"/>
  <c r="H105" i="2" s="1"/>
  <c r="E116" i="2"/>
  <c r="E88" i="2"/>
  <c r="E92" i="2"/>
  <c r="E91" i="2"/>
  <c r="E64" i="2"/>
  <c r="E62" i="2"/>
  <c r="E61" i="2"/>
  <c r="E54" i="2"/>
  <c r="E53" i="2"/>
  <c r="E52" i="2"/>
  <c r="E33" i="2"/>
  <c r="E32" i="2"/>
  <c r="E11" i="2"/>
  <c r="E9" i="2"/>
  <c r="E10" i="2"/>
  <c r="E133" i="2"/>
  <c r="E20" i="2"/>
  <c r="D6" i="7"/>
  <c r="D5" i="7"/>
  <c r="D4" i="7"/>
  <c r="E124" i="2" l="1"/>
  <c r="E123" i="2"/>
  <c r="E120" i="2"/>
  <c r="E69" i="2"/>
  <c r="E74" i="2"/>
  <c r="E73" i="2" s="1"/>
  <c r="E72" i="2"/>
  <c r="E50" i="2"/>
  <c r="E49" i="2"/>
  <c r="E65" i="2"/>
  <c r="E63" i="2"/>
  <c r="E59" i="2"/>
  <c r="E60" i="2" s="1"/>
  <c r="E67" i="2"/>
  <c r="E66" i="2" s="1"/>
  <c r="E38" i="2"/>
  <c r="E37" i="2" s="1"/>
  <c r="E29" i="2"/>
  <c r="E28" i="2"/>
  <c r="E27" i="2"/>
  <c r="E47" i="2" l="1"/>
  <c r="E34" i="2" l="1"/>
  <c r="E26" i="2" s="1"/>
  <c r="C8" i="6" l="1"/>
  <c r="H5" i="2" l="1"/>
  <c r="G116" i="2" l="1"/>
  <c r="H116" i="2" s="1"/>
  <c r="G131" i="2"/>
  <c r="H131" i="2" s="1"/>
  <c r="G114" i="2"/>
  <c r="H114" i="2" s="1"/>
  <c r="G117" i="2"/>
  <c r="H117" i="2" s="1"/>
  <c r="G115" i="2"/>
  <c r="H115" i="2" s="1"/>
  <c r="G138" i="2"/>
  <c r="H138" i="2" s="1"/>
  <c r="G18" i="2"/>
  <c r="H18" i="2" s="1"/>
  <c r="G129" i="2"/>
  <c r="H129" i="2" s="1"/>
  <c r="G130" i="2"/>
  <c r="H130" i="2" s="1"/>
  <c r="G94" i="2"/>
  <c r="H94" i="2" s="1"/>
  <c r="G95" i="2"/>
  <c r="H95" i="2" s="1"/>
  <c r="G132" i="2"/>
  <c r="H132" i="2" s="1"/>
  <c r="G118" i="2"/>
  <c r="H118" i="2" s="1"/>
  <c r="G110" i="2"/>
  <c r="H110" i="2" s="1"/>
  <c r="G109" i="2"/>
  <c r="H109" i="2" s="1"/>
  <c r="G108" i="2"/>
  <c r="H108" i="2" s="1"/>
  <c r="G107" i="2"/>
  <c r="H107" i="2" s="1"/>
  <c r="G84" i="2"/>
  <c r="H84" i="2" s="1"/>
  <c r="G89" i="2"/>
  <c r="H89" i="2" s="1"/>
  <c r="G30" i="2"/>
  <c r="H30" i="2" s="1"/>
  <c r="G92" i="2"/>
  <c r="H92" i="2" s="1"/>
  <c r="G123" i="2"/>
  <c r="H123" i="2" s="1"/>
  <c r="G124" i="2"/>
  <c r="H124" i="2" s="1"/>
  <c r="G122" i="2"/>
  <c r="H122" i="2" s="1"/>
  <c r="G121" i="2"/>
  <c r="H121" i="2" s="1"/>
  <c r="G120" i="2"/>
  <c r="H120" i="2" s="1"/>
  <c r="G119" i="2"/>
  <c r="H119" i="2" s="1"/>
  <c r="G106" i="2"/>
  <c r="H106" i="2" s="1"/>
  <c r="G112" i="2"/>
  <c r="H112" i="2" s="1"/>
  <c r="G113" i="2"/>
  <c r="H113" i="2" s="1"/>
  <c r="G102" i="2"/>
  <c r="H102" i="2" s="1"/>
  <c r="G111" i="2"/>
  <c r="H111" i="2" s="1"/>
  <c r="G103" i="2"/>
  <c r="H103" i="2" s="1"/>
  <c r="G104" i="2"/>
  <c r="H104" i="2" s="1"/>
  <c r="G101" i="2"/>
  <c r="H101" i="2" s="1"/>
  <c r="G133" i="2"/>
  <c r="H133" i="2" s="1"/>
  <c r="G75" i="2"/>
  <c r="H75" i="2" s="1"/>
  <c r="G72" i="2"/>
  <c r="H72" i="2" s="1"/>
  <c r="G73" i="2"/>
  <c r="H73" i="2" s="1"/>
  <c r="G74" i="2"/>
  <c r="H74" i="2" s="1"/>
  <c r="G50" i="2"/>
  <c r="H50" i="2" s="1"/>
  <c r="G49" i="2"/>
  <c r="H49" i="2" s="1"/>
  <c r="G64" i="2"/>
  <c r="H64" i="2" s="1"/>
  <c r="G51" i="2"/>
  <c r="H51" i="2" s="1"/>
  <c r="G65" i="2"/>
  <c r="H65" i="2" s="1"/>
  <c r="G59" i="2"/>
  <c r="H59" i="2" s="1"/>
  <c r="G62" i="2"/>
  <c r="H62" i="2" s="1"/>
  <c r="G66" i="2"/>
  <c r="H66" i="2" s="1"/>
  <c r="G63" i="2"/>
  <c r="H63" i="2" s="1"/>
  <c r="G60" i="2"/>
  <c r="H60" i="2" s="1"/>
  <c r="G61" i="2"/>
  <c r="H61" i="2" s="1"/>
  <c r="G37" i="2"/>
  <c r="H37" i="2" s="1"/>
  <c r="G67" i="2"/>
  <c r="H67" i="2" s="1"/>
  <c r="G29" i="2"/>
  <c r="H29" i="2" s="1"/>
  <c r="G38" i="2"/>
  <c r="H38" i="2" s="1"/>
  <c r="G140" i="2"/>
  <c r="H140" i="2" s="1"/>
  <c r="G36" i="2"/>
  <c r="H36" i="2" s="1"/>
  <c r="G9" i="2"/>
  <c r="H9" i="2" s="1"/>
  <c r="G26" i="2"/>
  <c r="H26" i="2" s="1"/>
  <c r="G12" i="2"/>
  <c r="H12" i="2" s="1"/>
  <c r="G11" i="2"/>
  <c r="H11" i="2" s="1"/>
  <c r="G47" i="2"/>
  <c r="H47" i="2" s="1"/>
  <c r="G10" i="2"/>
  <c r="H10" i="2" s="1"/>
  <c r="G53" i="2"/>
  <c r="H53" i="2" s="1"/>
  <c r="G52" i="2"/>
  <c r="H52" i="2" s="1"/>
  <c r="G96" i="2"/>
  <c r="H96" i="2" s="1"/>
  <c r="G77" i="2"/>
  <c r="H77" i="2" s="1"/>
  <c r="G54" i="2"/>
  <c r="H54" i="2" s="1"/>
  <c r="G21" i="2"/>
  <c r="H21" i="2" s="1"/>
  <c r="G39" i="2"/>
  <c r="H39" i="2" s="1"/>
  <c r="G91" i="2"/>
  <c r="H91" i="2" s="1"/>
  <c r="G86" i="2"/>
  <c r="H86" i="2" s="1"/>
  <c r="G88" i="2"/>
  <c r="H88" i="2" s="1"/>
  <c r="G90" i="2"/>
  <c r="H90" i="2" s="1"/>
  <c r="G93" i="2"/>
  <c r="H93" i="2" s="1"/>
  <c r="G85" i="2"/>
  <c r="H85" i="2" s="1"/>
  <c r="G82" i="2"/>
  <c r="H82" i="2" s="1"/>
  <c r="G83" i="2"/>
  <c r="H83" i="2" s="1"/>
  <c r="G87" i="2"/>
  <c r="H87" i="2" s="1"/>
  <c r="G44" i="2"/>
  <c r="H44" i="2" s="1"/>
  <c r="G48" i="2"/>
  <c r="H48" i="2" s="1"/>
  <c r="G45" i="2"/>
  <c r="H45" i="2" s="1"/>
  <c r="G46" i="2"/>
  <c r="H46" i="2" s="1"/>
  <c r="G35" i="2"/>
  <c r="H35" i="2" s="1"/>
  <c r="G34" i="2"/>
  <c r="H34" i="2" s="1"/>
  <c r="G31" i="2"/>
  <c r="H31" i="2" s="1"/>
  <c r="G17" i="2"/>
  <c r="H17" i="2" s="1"/>
  <c r="G33" i="2"/>
  <c r="H33" i="2" s="1"/>
  <c r="G32" i="2"/>
  <c r="H32" i="2" s="1"/>
  <c r="G19" i="2"/>
  <c r="H19" i="2" s="1"/>
  <c r="G20" i="2"/>
  <c r="H20" i="2" s="1"/>
  <c r="G28" i="2"/>
  <c r="H28" i="2" s="1"/>
  <c r="G70" i="2"/>
  <c r="H70" i="2" s="1"/>
  <c r="G69" i="2"/>
  <c r="H69" i="2" s="1"/>
  <c r="G76" i="2"/>
  <c r="H76" i="2" s="1"/>
  <c r="G139" i="2"/>
  <c r="H139" i="2" s="1"/>
  <c r="G27" i="2"/>
  <c r="H27" i="2" s="1"/>
  <c r="G68" i="2"/>
  <c r="H68" i="2" s="1"/>
  <c r="G71" i="2"/>
  <c r="H141" i="2" l="1"/>
  <c r="H134" i="2"/>
  <c r="C34" i="8" s="1"/>
  <c r="H125" i="2"/>
  <c r="C31" i="8" s="1"/>
  <c r="H13" i="2"/>
  <c r="H22" i="2"/>
  <c r="H97" i="2"/>
  <c r="C27" i="8" s="1"/>
  <c r="H40" i="2"/>
  <c r="C6" i="8" s="1"/>
  <c r="H55" i="2"/>
  <c r="C13" i="8" s="1"/>
  <c r="C37" i="8"/>
  <c r="H71" i="2"/>
  <c r="C3" i="8" l="1"/>
  <c r="C39" i="8"/>
  <c r="H78" i="2"/>
  <c r="H142" i="2" s="1"/>
  <c r="C18" i="8" l="1"/>
  <c r="C2" i="8" s="1"/>
  <c r="E3" i="8" s="1"/>
  <c r="E31" i="8" l="1"/>
  <c r="E6" i="8"/>
  <c r="E34" i="8"/>
  <c r="E13" i="8"/>
  <c r="E18" i="8"/>
  <c r="E27" i="8"/>
  <c r="E37" i="8"/>
  <c r="E39" i="8"/>
</calcChain>
</file>

<file path=xl/sharedStrings.xml><?xml version="1.0" encoding="utf-8"?>
<sst xmlns="http://schemas.openxmlformats.org/spreadsheetml/2006/main" count="819" uniqueCount="396">
  <si>
    <t>L</t>
  </si>
  <si>
    <t>und.</t>
  </si>
  <si>
    <t>BDI</t>
  </si>
  <si>
    <t>Não tem na Sinapi</t>
  </si>
  <si>
    <t>2.4</t>
  </si>
  <si>
    <t>Rua Victório viezzer, 84 - Vista Alegre, Curitiba/PR, 80810-340</t>
  </si>
  <si>
    <t>Base Sinapi</t>
  </si>
  <si>
    <t>Data orçamento:</t>
  </si>
  <si>
    <t>ITEM</t>
  </si>
  <si>
    <t>OBJETO:</t>
  </si>
  <si>
    <t xml:space="preserve">LOCAL: </t>
  </si>
  <si>
    <t>1.1</t>
  </si>
  <si>
    <t>1.2</t>
  </si>
  <si>
    <t>1.3</t>
  </si>
  <si>
    <t>1.4</t>
  </si>
  <si>
    <t>2.3</t>
  </si>
  <si>
    <t>2.5</t>
  </si>
  <si>
    <t>2.6</t>
  </si>
  <si>
    <t>2.7</t>
  </si>
  <si>
    <t>2.10</t>
  </si>
  <si>
    <t>2.11</t>
  </si>
  <si>
    <t>4.1</t>
  </si>
  <si>
    <t>4.2</t>
  </si>
  <si>
    <t>4.3</t>
  </si>
  <si>
    <t>4.4</t>
  </si>
  <si>
    <t>4.5</t>
  </si>
  <si>
    <t>4.7</t>
  </si>
  <si>
    <t>4.8</t>
  </si>
  <si>
    <t>4.9</t>
  </si>
  <si>
    <t>4.10</t>
  </si>
  <si>
    <t>4.11</t>
  </si>
  <si>
    <t>4.13</t>
  </si>
  <si>
    <t>DEMOLIÇÃO DE ALVENARIA DE BLOCO FURADO, DE FORMA MANUAL, SEM REAPROVEITAMENTO. AF_12/2017</t>
  </si>
  <si>
    <t>MASSA ÚNICA, PARA RECEBIMENTO DE PINTURA, EM ARGAMASSA TRAÇO 1:2:8, PREPARO MANUAL, APLICADA MANUALMENTE EM FACES INTERNAS DE PAREDES, ESPESSURA DE 20MM, COM EXECUÇÃO DE TALISCAS. AF_06/2014</t>
  </si>
  <si>
    <t>TÉCNICO EM SEGURANÇA DO TRABALHO COM ENCARGOS COMPLEMENTARES</t>
  </si>
  <si>
    <t>SERVENTE COM ENCARGOS COMPLEMENTARES</t>
  </si>
  <si>
    <t>TELHADISTA COM ENCARGOS COMPLEMENTARES</t>
  </si>
  <si>
    <t>RUFO EXTERNO/INTERNO EM CHAPA DE AÇO GALVANIZADO NÚMERO 26, CORTE DE 33 CM, INCLUSO IÇAMENTO. AF_07/2019</t>
  </si>
  <si>
    <t>CALHA EM CHAPA DE AÇO GALVANIZADO NÚMERO 24, DESENVOLVIMENTO DE 50 CM, INCLUSO TRANSPORTE VERTICAL. AF_07/2019</t>
  </si>
  <si>
    <t>CABO DE ACO GALVANIZADO, DIAMETRO 9,53 MM (3/8"), COM ALMA DE FIBRA 6 X 25 F</t>
  </si>
  <si>
    <t>LONA PLASTICA EXTRA FORTE PRETA, E = 200 MICRA</t>
  </si>
  <si>
    <t>PEDREIRO COM ENCARGOS COMPLEMENTARES</t>
  </si>
  <si>
    <t>MONTAGEM E DESMONTAGEM DE ANDAIME MODULAR FACHADEIRO, COM PISO METÁLICO, PARA EDIFICAÇÕES COM MÚLTIPLOS PAVIMENTOS (EXCLUSIVE ANDAIME E LIMPEZA). AF_11/2017</t>
  </si>
  <si>
    <t>ELETRODUTO DE PVC RIGIDO ROSCAVEL DE 3/4 ", SEM LUVA</t>
  </si>
  <si>
    <t>LUVA EM PVC RIGIDO ROSCAVEL, DE 3/4", PARA ELETRODUTO</t>
  </si>
  <si>
    <t>CONDULETE DE ALUMINIO TIPO C, PARA ELETRODUTO ROSCAVEL DE 3/4", COM TAMPA CEGA</t>
  </si>
  <si>
    <t>CONDULETE DE ALUMINIO TIPO E, PARA ELETRODUTO ROSCAVEL DE 3/4", COM TAMPA CEGA</t>
  </si>
  <si>
    <t>ABRACADEIRA EM ACO PARA AMARRACAO DE ELETRODUTOS, TIPO D, COM 3/4" E CUNHA DE FIXACAO</t>
  </si>
  <si>
    <t>CABO DE COBRE, FLEXIVEL, CLASSE 4 OU 5, ISOLACAO EM PVC/A, ANTICHAMA BWF-B, 1 CONDUTOR, 450/750 V, SECAO NOMINAL 2,5 MM2</t>
  </si>
  <si>
    <t>DISJUNTOR TIPO DIN/IEC, MONOPOLAR DE 6  ATE  32A</t>
  </si>
  <si>
    <t>ELETRICISTA COM ENCARGOS COMPLEMENTARES</t>
  </si>
  <si>
    <t>MOTIVO DO USO DE ORÇAMENTO COMERCIAL</t>
  </si>
  <si>
    <t>MATERIAL / SERVIÇO</t>
  </si>
  <si>
    <t>VLR. UNIT.</t>
  </si>
  <si>
    <t>FORNECEDOR</t>
  </si>
  <si>
    <t>CÓDIGO</t>
  </si>
  <si>
    <t>ITEM COMPONENTE DO BDI</t>
  </si>
  <si>
    <t>AC</t>
  </si>
  <si>
    <t>R</t>
  </si>
  <si>
    <t>S+G</t>
  </si>
  <si>
    <t>DF</t>
  </si>
  <si>
    <t>I</t>
  </si>
  <si>
    <t>ADMINISTRAÇÃO CENTRAL</t>
  </si>
  <si>
    <t>RISCOS</t>
  </si>
  <si>
    <t>SEGURO E GARANTIA</t>
  </si>
  <si>
    <t>LUCRO</t>
  </si>
  <si>
    <t>TRIBUTOS (PIS, CONFINS E ISS)</t>
  </si>
  <si>
    <t>DESPESAS FINANCEIRAS</t>
  </si>
  <si>
    <t>SIGLA</t>
  </si>
  <si>
    <t>FÓRMULA PARA CÁLCULO DO BDI CONFORME ACÓRDÃO 2622/2013 DO TCU</t>
  </si>
  <si>
    <t>BDI:</t>
  </si>
  <si>
    <t>DESCRIÇÃO DE SERVIÇOS / MATERIAL</t>
  </si>
  <si>
    <t>VLR. UNIT. SEM BDI</t>
  </si>
  <si>
    <t>UNID.</t>
  </si>
  <si>
    <t>QTD.</t>
  </si>
  <si>
    <t>VLR. COM BDI</t>
  </si>
  <si>
    <t>VLR. TOTAL</t>
  </si>
  <si>
    <t>SINAPI - Não desonerado</t>
  </si>
  <si>
    <t>TOTAL ETAPA</t>
  </si>
  <si>
    <t>TOTAL ETAPA:</t>
  </si>
  <si>
    <t>Responsável técnico pelo orçamento:</t>
  </si>
  <si>
    <t>Eng. Jean de Oliveira Gonçalves / CREA PR-178.771/D</t>
  </si>
  <si>
    <t>(41) 99834-0642 - E-MAIL: Solucoes@kgengenharia.com</t>
  </si>
  <si>
    <t>Jean de Oliveira Gonçalves</t>
  </si>
  <si>
    <t>Klemba e Gonçalves Soluções em Engenharia LTDA</t>
  </si>
  <si>
    <t>______________________________________________________________________</t>
  </si>
  <si>
    <t>TOTAL GERAL COM BDI</t>
  </si>
  <si>
    <t>VALORES ADOTADOS*</t>
  </si>
  <si>
    <t>*CONFORME 3° QUARTIL DO ACÓRDÃO DO TCU</t>
  </si>
  <si>
    <t>H</t>
  </si>
  <si>
    <t>UN</t>
  </si>
  <si>
    <t>M</t>
  </si>
  <si>
    <t>M2</t>
  </si>
  <si>
    <t>M3</t>
  </si>
  <si>
    <t>CAÇAMBA 5M³</t>
  </si>
  <si>
    <t>COMPARATIVO COTAÇÕES SOLICITADAS</t>
  </si>
  <si>
    <t>UND.</t>
  </si>
  <si>
    <t>DIPROTEC</t>
  </si>
  <si>
    <t>CASA NOVA</t>
  </si>
  <si>
    <t>TRANSPONTES</t>
  </si>
  <si>
    <t>IDENTIFICAÇÃO DO ORÇAMENTO</t>
  </si>
  <si>
    <t>TRANSDETRITOS</t>
  </si>
  <si>
    <t>DISKCAÇAMBA</t>
  </si>
  <si>
    <t>CAÇAMBA 5M³ PARA DESCARTE DE RESÍDUOS CLASSE A</t>
  </si>
  <si>
    <t>COM 1</t>
  </si>
  <si>
    <t>COM 2</t>
  </si>
  <si>
    <t>ORÇAMENTO COMPLEMENTAR</t>
  </si>
  <si>
    <t>ITEM ORÇADO: PAPELÃO ONDULADO</t>
  </si>
  <si>
    <t>ITEM ORÇADO: CAÇAMBA 5M3 CLASSE A</t>
  </si>
  <si>
    <t>LEGENDA</t>
  </si>
  <si>
    <t>DESCRIÇÃO DO ITEM NO ORÇAMENTO DO FORNECEDOR</t>
  </si>
  <si>
    <t>COTAÇÃO DE MENOR CUSTO FINAL</t>
  </si>
  <si>
    <t>PLACA DE OBRA (PARA CONSTRUCAO CIVIL) EM CHAPA GALVANIZADA *N. 22*, ADESIVADA, DE *2,0 X 1,125* M (SEM POSTES PARA FIXACAO)</t>
  </si>
  <si>
    <t>ORÇAMENTO DE EXECUÇÃO DE COBERTURA DA NOVA PLENÁRIA - CRM/PR</t>
  </si>
  <si>
    <t xml:space="preserve">Orçamento referente a execução de cobertura complementar na área chamada nova plenária e área técnica, conforme projetos fornecidos pelo contratante baseado nos valores do SINAPI e valores comerciais, com BDI conforme equação para cálculo do percentual recomendado pelo Acórdão 2.622/2013 - TCU. </t>
  </si>
  <si>
    <t xml:space="preserve">LOCACAO DE CONTAINER 2,30 X 4,30 M, ALT. 2,50 M, PARA SANITARIO, COM 3 BACIAS, 4 CHUVEIROS, 1 LAVATORIO E 1 MICTORIO (NAO INCLUI MOBILIZACAO/DESMOBILIZACAO)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</si>
  <si>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MÊS</t>
  </si>
  <si>
    <t xml:space="preserve">TINTA ESMALTE SINTETICO PREMIUM DE EFEITO PROTETOR DE SUPERFICIE METALICA ALUMINIO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</si>
  <si>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ESCOVA DE ACO, COM CABO, *4  X 15* FILEIRAS DE CERDAS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</si>
  <si>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LIXA EM FOLHA PARA PAREDE OU MADEIRA, NUMERO 120, COR VERMELHA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</si>
  <si>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ENGENHEIRO CIVIL DE OBRA PLENO COM ENCARGOS COMPLEMENTARES</t>
  </si>
  <si>
    <t>ENCARREGADO GERAL COM ENCARGOS COMPLEMENTARES</t>
  </si>
  <si>
    <t>EDT</t>
  </si>
  <si>
    <t>NOME DA TAREFA</t>
  </si>
  <si>
    <t>CUSTO</t>
  </si>
  <si>
    <t>DURAÇÃO (dias)</t>
  </si>
  <si>
    <t>INÍCIO</t>
  </si>
  <si>
    <t>TÉRMINO</t>
  </si>
  <si>
    <t>CRONOGRAMA</t>
  </si>
  <si>
    <t>2 dias</t>
  </si>
  <si>
    <t>1 dia</t>
  </si>
  <si>
    <t>Instalação de placa de obra</t>
  </si>
  <si>
    <t>Limpeza parcial</t>
  </si>
  <si>
    <t>3 dias</t>
  </si>
  <si>
    <t>3 - RECUPERAÇÃO ESTRUTURA EXISTENTE</t>
  </si>
  <si>
    <t>4 - INSTALAÇÃO DE ESTRUTURA E TELHADO COMPLEMENTAR</t>
  </si>
  <si>
    <t>MOBILIZAÇÃO DE CANTEIRO DE OBRAS</t>
  </si>
  <si>
    <t>Instalação de container</t>
  </si>
  <si>
    <t>1 - MOBILIZAÇÃO DE CANTEIRO DE OBRAS</t>
  </si>
  <si>
    <t>RECUPERAÇÃO DE ESTRUTURA EXISTENTE</t>
  </si>
  <si>
    <t>INSTALAÇÃO DE ESTRUTURA E TELHADO COMPLEMENTAR</t>
  </si>
  <si>
    <t>DESMOBILIZAÇÃO DO CANTEIRO DE OBRAS</t>
  </si>
  <si>
    <t>Montagem de andaime</t>
  </si>
  <si>
    <t>Demolição da alvenaria</t>
  </si>
  <si>
    <t>Desmontagem andaime</t>
  </si>
  <si>
    <t>Pintura das estruturas em corrosão</t>
  </si>
  <si>
    <t>Montagem da estrutura do telhado</t>
  </si>
  <si>
    <t>Instalação de calhas complementares</t>
  </si>
  <si>
    <t>Montagem das telhas</t>
  </si>
  <si>
    <t>Instalação de rufos</t>
  </si>
  <si>
    <t>Instalação dos exaustores eólicos</t>
  </si>
  <si>
    <t>Execução de tubulação e fiação elétrica</t>
  </si>
  <si>
    <t>Instalação de luminárias</t>
  </si>
  <si>
    <t>5 - INSTALAÇÃO DA ILUMINAÇÃO INTERNA</t>
  </si>
  <si>
    <t>2.8</t>
  </si>
  <si>
    <t>2.9</t>
  </si>
  <si>
    <t>2.12</t>
  </si>
  <si>
    <t>2.14</t>
  </si>
  <si>
    <t>3.1</t>
  </si>
  <si>
    <t>3.2</t>
  </si>
  <si>
    <t>3.4</t>
  </si>
  <si>
    <t>3.5</t>
  </si>
  <si>
    <t>3.6</t>
  </si>
  <si>
    <t>3.7</t>
  </si>
  <si>
    <t>4.6</t>
  </si>
  <si>
    <t>Acabamento ao redor da ventilação</t>
  </si>
  <si>
    <t>EXECUÇÃO DE VENTILAÇÃO PERMANENTE</t>
  </si>
  <si>
    <t>2 - EXECUÇÃO DE VENTILAÇÃO PERMANENTE</t>
  </si>
  <si>
    <t>ANOTAÇÃO DE RESPONSABILIDADE TÉCNICA</t>
  </si>
  <si>
    <t>MSXMES</t>
  </si>
  <si>
    <t xml:space="preserve">LOCACAO DE ANDAIME METALICO TIPO FACHADEIRO, LARGURA DE 1,20 M, ALTURA POR PECA DE 2,0 M, INCLUINDO SAPATAS E ITENS NECESSARIOS A INSTALACAO                     </t>
  </si>
  <si>
    <t xml:space="preserve">INSTALAÇÃO DE ILUMINAÇÃO </t>
  </si>
  <si>
    <t>Execução de tubulação de águas pluviais</t>
  </si>
  <si>
    <t>0,5 dia</t>
  </si>
  <si>
    <t>Instalação veneziana</t>
  </si>
  <si>
    <t>Desmobilização do container e limpeza final</t>
  </si>
  <si>
    <t>VERGA MOLDADA IN LOCO EM CONCRETO PARA JANELAS COM ATÉ 1,5 M DE VÃO. AF_03/2016</t>
  </si>
  <si>
    <t>APLICAÇÃO MANUAL DE PINTURA COM TINTA TEXTURIZADA ACRÍLICA EM SUPERFÍCIES INTERNAS DA SACADA DE EDIFÍCIOS DE MÚLTIPLOS PAVIMENTOS, UMA COR. AF_06/2014</t>
  </si>
  <si>
    <t>APLICAÇÃO MANUAL DE FUNDO SELADOR ACRÍLICO EM SUPERFÍCIES INTERNAS DA SACADA DE EDIFÍCIOS DE MÚLTIPLOS PAVIMENTOS. AF_06/2014</t>
  </si>
  <si>
    <t>2.1</t>
  </si>
  <si>
    <t>2.2</t>
  </si>
  <si>
    <t>2.13</t>
  </si>
  <si>
    <t>Limpeza das estruturas em corrosão e aplicação convertedor</t>
  </si>
  <si>
    <t>Revisão dos rufos e vedação de parafusos</t>
  </si>
  <si>
    <t>3,5 dias</t>
  </si>
  <si>
    <t>PINTURA COM TINTA ALQUÍDICA DE ACABAMENTO (ESMALTE SINTÉTICO FOSCO) PULVERIZADA SOBRE PERFIL METÁLICO EXECUTADO EM FÁBRICA (POR DEMÃO). AF_01/2020_P</t>
  </si>
  <si>
    <t>KG</t>
  </si>
  <si>
    <t xml:space="preserve">PERFIL "U" ENRIJECIDO DE ACO GALVANIZADO, DOBRADO, 150 X 60 X 20 MM, E = 3,00 MM OU 200 X 75 X 25 MM, E = 3,75 MM               </t>
  </si>
  <si>
    <t xml:space="preserve">ELETRODO REVESTIDO AWS - E6013, DIAMETRO IGUAL A 2,50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</si>
  <si>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AJUDANTE DE ESTRUTURA METÁLICA COM ENCARGOS COMPLEMENTARES</t>
  </si>
  <si>
    <t>MONTADOR DE ESTRUTURA METÁLICA COM ENCARGOS COMPLEMENTARES</t>
  </si>
  <si>
    <t>SOLDADOR COM ENCARGOS COMPLEMENTARES</t>
  </si>
  <si>
    <t>JATEAMENTO ABRASIVO COM GRANALHA DE AÇO EM PERFIL METÁLICO EM FÁBRICA. AF_01/2020</t>
  </si>
  <si>
    <t xml:space="preserve">CHAPA DE ACO GROSSA, ASTM A36, E = 3/8 " (9,53 MM) 74,69 KG/M2                   </t>
  </si>
  <si>
    <t>TELHAMENTO COM TELHA METÁLICA TERMOACÚSTICA E = 30 MM, COM ATÉ 2 ÁGUAS, INCLUSO IÇAMENTO. AF_07/2019</t>
  </si>
  <si>
    <t xml:space="preserve">SELANTE ELASTICO MONOCOMPONENTE A BASE DE POLIURETANO (PU) PARA JUNTAS DIVERSAS </t>
  </si>
  <si>
    <t>310ML</t>
  </si>
  <si>
    <t xml:space="preserve">TUBO PVC  SERIE NORMAL, DN 100 MM, PARA ESGOTO  PREDIAL (NBR 5688)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</si>
  <si>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LUVA SIMPLES, PVC, SOLDAVEL, DN 100 MM, SERIE NORMAL,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</si>
  <si>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UN    </t>
  </si>
  <si>
    <t xml:space="preserve">JUNCAO SIMPLES, PVC, 45 GRAUS, DN 100 X 100 MM, SERIE NORMAL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</si>
  <si>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ANEL BORRACHA PARA TUBO ESGOTO PREDIAL, DN 100 MM (NBR 5688)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</si>
  <si>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ADESIVO PLASTICO PARA PVC, FRASCO COM 175 GR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</si>
  <si>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PASTA LUBRIFICANTE PARA TUBOS E CONEXOES COM JUNTA ELASTICA, EMBALAGEM DE *400* GR (USO EM PVC, ACO, POLIETILENO E OUTROS)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</si>
  <si>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ABRACADEIRA EM ACO PARA AMARRACAO DE ELETRODUTOS, TIPO U SIMPLES, COM 4"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</si>
  <si>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ZINCADO, SEXTAVADO, COM ROSCA INTEIRA, DIAMETRO 1/4", COMPRIMENTO 1/2"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</si>
  <si>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PORCA ZINCADA, SEXTAVADA, DIAMETRO 1/4"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</si>
  <si>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ARRUELA LISA, REDONDA, DE LATAO POLIDO, DIAMETRO NOMINAL 5/8", DIAMETRO EXTERNO = 34 MM, DIAMETRO DO FURO = 17 MM, ESPESSURA = *2,5*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</si>
  <si>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0.1</t>
  </si>
  <si>
    <t>0.2</t>
  </si>
  <si>
    <t>0.3</t>
  </si>
  <si>
    <t>0.4</t>
  </si>
  <si>
    <t>3.8</t>
  </si>
  <si>
    <t>3.9</t>
  </si>
  <si>
    <t>3.10</t>
  </si>
  <si>
    <t>3.11</t>
  </si>
  <si>
    <t>4.12</t>
  </si>
  <si>
    <t>4.14</t>
  </si>
  <si>
    <t>4.15</t>
  </si>
  <si>
    <t>4.16</t>
  </si>
  <si>
    <t>4.17</t>
  </si>
  <si>
    <t>4.18</t>
  </si>
  <si>
    <t>4.19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</si>
  <si>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</si>
  <si>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</si>
  <si>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</si>
  <si>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</si>
  <si>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</si>
  <si>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</si>
  <si>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</si>
  <si>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</si>
  <si>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</si>
  <si>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6.1</t>
  </si>
  <si>
    <t>6.4</t>
  </si>
  <si>
    <t>ENCANADOR OU BOMBEIRO HIDRÁULICO COM ENCARGOS COMPLEMENTARES</t>
  </si>
  <si>
    <t>6.2</t>
  </si>
  <si>
    <t>6.3</t>
  </si>
  <si>
    <t>6.5</t>
  </si>
  <si>
    <t>6.6</t>
  </si>
  <si>
    <t>6.7</t>
  </si>
  <si>
    <t>6.8</t>
  </si>
  <si>
    <t>6.9</t>
  </si>
  <si>
    <t>6.10</t>
  </si>
  <si>
    <t>6.11</t>
  </si>
  <si>
    <t>6.13</t>
  </si>
  <si>
    <t>6.14</t>
  </si>
  <si>
    <t>6.15</t>
  </si>
  <si>
    <t>6.16</t>
  </si>
  <si>
    <t>6.17</t>
  </si>
  <si>
    <t>Instalação de escada marinheiro</t>
  </si>
  <si>
    <t>AUXILIAR DE ENCANADOR OU BOMBEIRO HIDRÁULICO COM ENCARGOS COMPLEMENTARES</t>
  </si>
  <si>
    <t>4,5 dias</t>
  </si>
  <si>
    <t>6.18</t>
  </si>
  <si>
    <t>AUXILIAR DE ELETRICISTA COM ENCARGOS COMPLEMENTARES</t>
  </si>
  <si>
    <t>Execução do reboco no local indicado</t>
  </si>
  <si>
    <t>Execução de textura no local indicado</t>
  </si>
  <si>
    <t xml:space="preserve">PAPELÃO ONDULADO 1,20 </t>
  </si>
  <si>
    <t>PAPELÃO CORRUGADO (ONDULADO) FIT 1,20 X50M (BOBINA) (R$ 139,00/ROLO DE 60M²)</t>
  </si>
  <si>
    <t>PAPELÃO ONDULADO 1,20 (R$ 129,00/ROLO DE 60M²)</t>
  </si>
  <si>
    <t>PAPELÃO ONDULADO 1,20 X 10M TERA PAPEIS (R$ 39,90/ROLO DE 12M²)</t>
  </si>
  <si>
    <t>MATERGI</t>
  </si>
  <si>
    <t>CAÇAMBA 5M³ ***</t>
  </si>
  <si>
    <t>CREA-PR</t>
  </si>
  <si>
    <t>PINTOR COM ENCARGOS COMPLEMENTARES</t>
  </si>
  <si>
    <t xml:space="preserve">CURVA 90 GRAUS, CURTA, DE PVC RIGIDO ROSCAVEL, DE 3/4", PARA ELETRODUTO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</si>
  <si>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5.10</t>
  </si>
  <si>
    <t>5.11</t>
  </si>
  <si>
    <t xml:space="preserve">INTERRUPTOR SIMPLES + INTERRUPTOR PARALELO 10A, 250V, CONJUNTO MONTADO PARA EMBUTIR 4" X 2" (PLACA + SUPORTE + MODULOS)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</si>
  <si>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LUMINARIA LED REFLETOR RETANGULAR BIVOLT, LUZ BRANCA, 30 W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</si>
  <si>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5.14</t>
  </si>
  <si>
    <t>5.15</t>
  </si>
  <si>
    <t xml:space="preserve">JOELHO PVC, SOLDAVEL, PB, 90 GRAUS, DN 100 MM,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</si>
  <si>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JOELHO PVC, SOLDAVEL, PB, 90 GRAUS, DN 75 MM,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</si>
  <si>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TUBO PVC SERIE NORMAL, DN 75 MM, PARA ESGOTO PREDIAL (NBR 5688)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</si>
  <si>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LUVA SIMPLES, PVC, SOLDAVEL, DN 75 MM, SERIE NORMAL,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</si>
  <si>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ANEL BORRACHA PARA TUBO ESGOTO PREDIAL, DN 75 MM (NBR 5688)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</si>
  <si>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6.19</t>
  </si>
  <si>
    <t>6.20</t>
  </si>
  <si>
    <t>6.22</t>
  </si>
  <si>
    <t xml:space="preserve">ABRACADEIRA EM ACO PARA AMARRACAO DE ELETRODUTOS, TIPO U SIMPLES, COM 3"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</si>
  <si>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6.23</t>
  </si>
  <si>
    <t xml:space="preserve">VERGALHAO ZINCADO ROSCA TOTAL, 1/4 " (6,3 MM)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</si>
  <si>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ADMINISTRAÇÃO DE OBRAS</t>
  </si>
  <si>
    <t>5 dias</t>
  </si>
  <si>
    <t>11 dias</t>
  </si>
  <si>
    <t>MOBILIZAÇÃO CONTAINER</t>
  </si>
  <si>
    <t>PORTA LAMPADA BOCAL SOQUETE E-27 PORCELANA</t>
  </si>
  <si>
    <t>7 - INSTALAÇÃO ESCADA MARINHEIRO</t>
  </si>
  <si>
    <t>8 - DESMOBILIZAÇÃO DE CANTEIRO DE OBRAS</t>
  </si>
  <si>
    <t>6 - EXECUÇÃO DE TUBULAÇÃO DE ÁGUAS PLUVIAIS</t>
  </si>
  <si>
    <t>ITEM ORÇADO: MOBILIZAÇÃO CONTAINER</t>
  </si>
  <si>
    <t>ITEM ORÇADO: EXAUSTOR EÓLICO</t>
  </si>
  <si>
    <t>ITEM ORÇADO: SOQUETE BOCAL E-27</t>
  </si>
  <si>
    <t>ITEM ORÇADO: LAMPADA LED 40W</t>
  </si>
  <si>
    <t>ITEM ORÇADO: ABRAÇADEIRA TIPO GOTA 3"</t>
  </si>
  <si>
    <t>ITEM ORÇADO: ABRAÇADEIRA TIPO GOTA 4"</t>
  </si>
  <si>
    <t>ITEM ORÇADO: ESCADA MARINHEIRO 3,50M</t>
  </si>
  <si>
    <t>ITEM ORÇADO: ESCADA MARINHEIRO 6,00M</t>
  </si>
  <si>
    <t>COM 3</t>
  </si>
  <si>
    <t>1.5</t>
  </si>
  <si>
    <t>COM 4</t>
  </si>
  <si>
    <t>STROBOELETRO</t>
  </si>
  <si>
    <t>COM 15 - ORÇ STROBOELETRO</t>
  </si>
  <si>
    <t>UTILIMAX</t>
  </si>
  <si>
    <t>HB MATERIAIS ELÉTRICOS</t>
  </si>
  <si>
    <t>TASCHIBRA - LAMPADA HIGH LED 40W 6500K</t>
  </si>
  <si>
    <t>PLUZIE - PLAFONIER PLAST PRETO 100 WATTS</t>
  </si>
  <si>
    <t>LAMPADA SUPER LED E-27 MOD ULTRA 37/40W</t>
  </si>
  <si>
    <t>BOCAL PORC. 1450 E-27</t>
  </si>
  <si>
    <t>DECOR LAMPADA LED ALTA POTENCIA 40W 6500K</t>
  </si>
  <si>
    <t>ABRAC. ECONOMICA 4 TIPO GOTA</t>
  </si>
  <si>
    <t>ABRAC. ECONOMICA 3 TIPO GOTA</t>
  </si>
  <si>
    <t>ABRACADEIRA ECONOMICA TIPO GOTA 4"</t>
  </si>
  <si>
    <t>ABRACADEIRA ECONOMICA TIPO GOTA 3"</t>
  </si>
  <si>
    <t>ITEM ORÇADO: QUADRO VENEZIANA FIXA</t>
  </si>
  <si>
    <t>ESCADA MARINHEIRO 3500MM DE COMPRIMENTO</t>
  </si>
  <si>
    <t>RA METALURGICA</t>
  </si>
  <si>
    <t>ESCADA MARINHEIRO 6000MM DE COMPRIMENTO</t>
  </si>
  <si>
    <t>ESCADA MARINHEIRO C/ GUARDA CORPO 3,5MTS</t>
  </si>
  <si>
    <t>BASE METAL</t>
  </si>
  <si>
    <t>ESCADA MARINHEIRO C/ GUARDA CORPO 6MTS</t>
  </si>
  <si>
    <t>ESCADA MARINHEIRO COM PROTEÇÃO 3,50</t>
  </si>
  <si>
    <t>DIVERSOS SERRALHERIA</t>
  </si>
  <si>
    <t>ESCADA MARINHEIRO COM PROTEÇÃO 6,00</t>
  </si>
  <si>
    <t>COM 5</t>
  </si>
  <si>
    <t>COM 6</t>
  </si>
  <si>
    <t>COM 7</t>
  </si>
  <si>
    <t>COM 8</t>
  </si>
  <si>
    <t>COM 9</t>
  </si>
  <si>
    <t>COM 10</t>
  </si>
  <si>
    <t>COM 11</t>
  </si>
  <si>
    <t>ORÇ 1 - DIPROTEC</t>
  </si>
  <si>
    <t>ORÇ 2 - CASA NOVA</t>
  </si>
  <si>
    <t>ORÇ 3 - MATERGI</t>
  </si>
  <si>
    <t>ORÇ 4 - TRANSDETRITOS</t>
  </si>
  <si>
    <t>ORÇ 5 - DISKCAÇAMBA</t>
  </si>
  <si>
    <t>ORÇ 6 - TRANSPONTES</t>
  </si>
  <si>
    <t>ORÇ 13 - UTILIMAX</t>
  </si>
  <si>
    <t>ORÇ 15 - STROBOELETRO</t>
  </si>
  <si>
    <t>ORÇ 17 - RA METALURGICA</t>
  </si>
  <si>
    <t>ORÇ 18 - BASE METAL</t>
  </si>
  <si>
    <t>ORÇ 19 - DIVERSOS SERRALHERIA</t>
  </si>
  <si>
    <t>COM 14 - ORÇ HB MATERIAIS ELÉTRICOS</t>
  </si>
  <si>
    <t>0 - ADMINISTRAÇÃO DE OBRA</t>
  </si>
  <si>
    <t>3.3</t>
  </si>
  <si>
    <t xml:space="preserve">INSTALAÇÃO ESCADA MARINHEIRO </t>
  </si>
  <si>
    <t>EXECUÇÃO DE TUBULAÇÃO DE ÁGUAS PLUVIAIS</t>
  </si>
  <si>
    <t>7.1</t>
  </si>
  <si>
    <t>7.2</t>
  </si>
  <si>
    <t>8.1</t>
  </si>
  <si>
    <t>% Fisico / financeiro</t>
  </si>
  <si>
    <t xml:space="preserve">KG    </t>
  </si>
  <si>
    <t xml:space="preserve">CHAPA DE ACO FINA A QUENTE BITOLA MSG 13, E = 2,25 MM (18,00 KG/M2)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</si>
  <si>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BUCHA DE NYLON SEM ABA S10, COM PARAFUSO DE 6,10 X 65 MM EM ACO ZINCADO COM ROSCA SOBERBA, CABECA CHATA E FENDA PHILLIPS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</si>
  <si>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5.12</t>
  </si>
  <si>
    <t>5.13</t>
  </si>
  <si>
    <t>6.12</t>
  </si>
  <si>
    <t>6.21</t>
  </si>
  <si>
    <t>7.3</t>
  </si>
  <si>
    <t>7.4</t>
  </si>
  <si>
    <t>8.2</t>
  </si>
  <si>
    <t>8.3</t>
  </si>
  <si>
    <t xml:space="preserve">PARAFUSO DE ACO TIPO CHUMBADOR PARABOLT, DIAMETRO 1/2", COMPRIMENTO 75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</si>
  <si>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7.5</t>
  </si>
  <si>
    <t>GOBOX</t>
  </si>
  <si>
    <t>CONTAINER CURITIBA</t>
  </si>
  <si>
    <t>TRANSPORTE - FRETE IDA / ESTIMATIVA FRETE RETORNO</t>
  </si>
  <si>
    <t>MOBILIZAÇÃO PARA ENTREGA / MOBILIZAÇÃO PARA RETIRADA</t>
  </si>
  <si>
    <t>MOBILIZAÇÃO CAMINHÃO MUNCK / DESMOBILIZAÇÃO CAMINHÃO MUNCK</t>
  </si>
  <si>
    <t>AFA LOCAÇÕES</t>
  </si>
  <si>
    <t>ORÇ 7 - GOBOX</t>
  </si>
  <si>
    <t>ORÇ 8 - CONTAINER CURITIBA</t>
  </si>
  <si>
    <t>ORÇ 9 - AFA LOCAÇÕES</t>
  </si>
  <si>
    <t>LINHA SUPREMA PAINEL FIXO</t>
  </si>
  <si>
    <t>KLAUZER BOX</t>
  </si>
  <si>
    <t>ORÇ 20 - KLAUZER BOX</t>
  </si>
  <si>
    <t>ORÇ 21 - ALUMICON</t>
  </si>
  <si>
    <t>FIXO EM VENEZIANA TAMANHO 100X100</t>
  </si>
  <si>
    <t>ALUMICON</t>
  </si>
  <si>
    <t>ABRACADEIRA GOTA 3" DPS</t>
  </si>
  <si>
    <t>ELETRIZA</t>
  </si>
  <si>
    <t>ORÇ 16 - ELETRIZA</t>
  </si>
  <si>
    <t>ABRACADEIRA GOTA 4" DPS</t>
  </si>
  <si>
    <t>EXAUSTORES EÓLICOS 24"</t>
  </si>
  <si>
    <t>GIROAR</t>
  </si>
  <si>
    <t>EXAUSTOR MODELO 24 POLEGADAS</t>
  </si>
  <si>
    <t>GIRONOX</t>
  </si>
  <si>
    <t>ORÇ 10 - ARNUNES</t>
  </si>
  <si>
    <t>ORÇ 11 - GIROAR</t>
  </si>
  <si>
    <t>ORÇ 12 - GIRONOX</t>
  </si>
  <si>
    <t>ARAUVENT</t>
  </si>
  <si>
    <t>EXAUSTORES EÓLICOS MODELO AV 600 GLOBOS</t>
  </si>
  <si>
    <t>QUADRO EM VENEZIANA FIXA MEDIDA 1,00 X 1,00M</t>
  </si>
  <si>
    <t>ORÇ 22 - DIVERSOS SERRALHERIA</t>
  </si>
  <si>
    <t xml:space="preserve">TE SANITARIO, PVC, DN 100 X 75 MM, SERIE NORMAL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</si>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</sst>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1"/>
      <color rgb="FFC00000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6">
    <xf numFmtId="0" fontId="0" fillId="0" borderId="0" xfId="0"/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10" fontId="0" fillId="0" borderId="0" xfId="2" applyNumberFormat="1" applyFont="1"/>
    <xf numFmtId="0" fontId="0" fillId="0" borderId="6" xfId="0" applyBorder="1" applyAlignment="1">
      <alignment horizontal="center"/>
    </xf>
    <xf numFmtId="10" fontId="0" fillId="0" borderId="8" xfId="2" applyNumberFormat="1" applyFont="1" applyBorder="1" applyAlignment="1">
      <alignment horizontal="center"/>
    </xf>
    <xf numFmtId="10" fontId="0" fillId="0" borderId="11" xfId="2" applyNumberFormat="1" applyFont="1" applyBorder="1" applyAlignment="1">
      <alignment horizontal="center"/>
    </xf>
    <xf numFmtId="0" fontId="2" fillId="0" borderId="5" xfId="0" applyFont="1" applyBorder="1"/>
    <xf numFmtId="10" fontId="2" fillId="0" borderId="1" xfId="0" applyNumberFormat="1" applyFont="1" applyBorder="1" applyAlignment="1">
      <alignment horizontal="center"/>
    </xf>
    <xf numFmtId="17" fontId="3" fillId="0" borderId="8" xfId="0" applyNumberFormat="1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0" fontId="3" fillId="0" borderId="1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44" fontId="3" fillId="0" borderId="7" xfId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44" fontId="3" fillId="0" borderId="8" xfId="1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44" fontId="3" fillId="0" borderId="10" xfId="1" applyFont="1" applyFill="1" applyBorder="1" applyAlignment="1">
      <alignment vertical="center" wrapText="1"/>
    </xf>
    <xf numFmtId="44" fontId="3" fillId="0" borderId="7" xfId="1" applyFont="1" applyBorder="1" applyAlignment="1">
      <alignment vertical="center" wrapText="1"/>
    </xf>
    <xf numFmtId="44" fontId="3" fillId="0" borderId="8" xfId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44" fontId="5" fillId="3" borderId="26" xfId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44" fontId="7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/>
    <xf numFmtId="0" fontId="3" fillId="5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4" fontId="3" fillId="0" borderId="7" xfId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4" fontId="3" fillId="5" borderId="7" xfId="1" applyFont="1" applyFill="1" applyBorder="1" applyAlignment="1">
      <alignment vertical="center"/>
    </xf>
    <xf numFmtId="0" fontId="3" fillId="5" borderId="8" xfId="0" applyFont="1" applyFill="1" applyBorder="1" applyAlignment="1">
      <alignment vertical="center"/>
    </xf>
    <xf numFmtId="44" fontId="3" fillId="0" borderId="7" xfId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5" borderId="9" xfId="0" applyFont="1" applyFill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44" fontId="3" fillId="0" borderId="10" xfId="1" applyFont="1" applyBorder="1" applyAlignment="1">
      <alignment horizontal="center" vertical="center"/>
    </xf>
    <xf numFmtId="44" fontId="3" fillId="0" borderId="7" xfId="1" applyFont="1" applyFill="1" applyBorder="1" applyAlignment="1">
      <alignment vertical="center"/>
    </xf>
    <xf numFmtId="44" fontId="5" fillId="3" borderId="1" xfId="1" applyFont="1" applyFill="1" applyBorder="1" applyAlignment="1">
      <alignment vertical="center" wrapText="1"/>
    </xf>
    <xf numFmtId="0" fontId="3" fillId="0" borderId="19" xfId="0" applyFont="1" applyBorder="1" applyAlignment="1">
      <alignment vertical="center"/>
    </xf>
    <xf numFmtId="0" fontId="2" fillId="6" borderId="41" xfId="0" applyFont="1" applyFill="1" applyBorder="1"/>
    <xf numFmtId="44" fontId="2" fillId="6" borderId="41" xfId="1" applyFont="1" applyFill="1" applyBorder="1" applyAlignment="1">
      <alignment horizontal="center"/>
    </xf>
    <xf numFmtId="0" fontId="2" fillId="6" borderId="41" xfId="0" applyFont="1" applyFill="1" applyBorder="1" applyAlignment="1">
      <alignment horizontal="center"/>
    </xf>
    <xf numFmtId="0" fontId="2" fillId="6" borderId="42" xfId="0" applyFont="1" applyFill="1" applyBorder="1" applyAlignment="1">
      <alignment horizontal="center"/>
    </xf>
    <xf numFmtId="0" fontId="2" fillId="5" borderId="41" xfId="0" applyFont="1" applyFill="1" applyBorder="1"/>
    <xf numFmtId="44" fontId="2" fillId="5" borderId="41" xfId="1" applyFont="1" applyFill="1" applyBorder="1"/>
    <xf numFmtId="0" fontId="2" fillId="5" borderId="41" xfId="0" applyFont="1" applyFill="1" applyBorder="1" applyAlignment="1">
      <alignment horizontal="center"/>
    </xf>
    <xf numFmtId="14" fontId="2" fillId="5" borderId="41" xfId="0" applyNumberFormat="1" applyFont="1" applyFill="1" applyBorder="1"/>
    <xf numFmtId="14" fontId="2" fillId="5" borderId="42" xfId="0" applyNumberFormat="1" applyFont="1" applyFill="1" applyBorder="1"/>
    <xf numFmtId="0" fontId="2" fillId="2" borderId="28" xfId="0" applyFont="1" applyFill="1" applyBorder="1"/>
    <xf numFmtId="44" fontId="2" fillId="2" borderId="28" xfId="1" applyFont="1" applyFill="1" applyBorder="1"/>
    <xf numFmtId="0" fontId="2" fillId="2" borderId="28" xfId="0" applyFont="1" applyFill="1" applyBorder="1" applyAlignment="1">
      <alignment horizontal="center"/>
    </xf>
    <xf numFmtId="14" fontId="2" fillId="2" borderId="28" xfId="0" applyNumberFormat="1" applyFont="1" applyFill="1" applyBorder="1"/>
    <xf numFmtId="14" fontId="2" fillId="2" borderId="43" xfId="0" applyNumberFormat="1" applyFont="1" applyFill="1" applyBorder="1"/>
    <xf numFmtId="0" fontId="0" fillId="0" borderId="4" xfId="0" applyBorder="1"/>
    <xf numFmtId="44" fontId="1" fillId="0" borderId="4" xfId="1" applyFont="1" applyFill="1" applyBorder="1"/>
    <xf numFmtId="0" fontId="0" fillId="0" borderId="4" xfId="0" applyBorder="1" applyAlignment="1">
      <alignment horizontal="center"/>
    </xf>
    <xf numFmtId="14" fontId="0" fillId="0" borderId="4" xfId="0" applyNumberFormat="1" applyBorder="1"/>
    <xf numFmtId="14" fontId="0" fillId="0" borderId="5" xfId="0" applyNumberFormat="1" applyBorder="1"/>
    <xf numFmtId="0" fontId="0" fillId="0" borderId="10" xfId="0" applyBorder="1"/>
    <xf numFmtId="44" fontId="1" fillId="0" borderId="10" xfId="1" applyFont="1" applyFill="1" applyBorder="1"/>
    <xf numFmtId="14" fontId="0" fillId="0" borderId="10" xfId="0" applyNumberFormat="1" applyBorder="1"/>
    <xf numFmtId="14" fontId="0" fillId="0" borderId="11" xfId="0" applyNumberFormat="1" applyBorder="1"/>
    <xf numFmtId="0" fontId="2" fillId="2" borderId="4" xfId="0" applyFont="1" applyFill="1" applyBorder="1"/>
    <xf numFmtId="44" fontId="2" fillId="2" borderId="4" xfId="1" applyFont="1" applyFill="1" applyBorder="1"/>
    <xf numFmtId="0" fontId="2" fillId="2" borderId="4" xfId="0" applyFont="1" applyFill="1" applyBorder="1" applyAlignment="1">
      <alignment horizontal="center"/>
    </xf>
    <xf numFmtId="14" fontId="2" fillId="2" borderId="4" xfId="0" applyNumberFormat="1" applyFont="1" applyFill="1" applyBorder="1"/>
    <xf numFmtId="14" fontId="2" fillId="2" borderId="5" xfId="0" applyNumberFormat="1" applyFont="1" applyFill="1" applyBorder="1"/>
    <xf numFmtId="0" fontId="0" fillId="0" borderId="7" xfId="0" applyBorder="1"/>
    <xf numFmtId="44" fontId="1" fillId="0" borderId="7" xfId="1" applyFont="1" applyFill="1" applyBorder="1"/>
    <xf numFmtId="14" fontId="0" fillId="0" borderId="7" xfId="0" applyNumberFormat="1" applyBorder="1"/>
    <xf numFmtId="14" fontId="0" fillId="0" borderId="8" xfId="0" applyNumberFormat="1" applyBorder="1"/>
    <xf numFmtId="0" fontId="0" fillId="0" borderId="45" xfId="0" applyBorder="1"/>
    <xf numFmtId="44" fontId="1" fillId="0" borderId="45" xfId="1" applyFont="1" applyFill="1" applyBorder="1"/>
    <xf numFmtId="0" fontId="0" fillId="0" borderId="45" xfId="0" applyBorder="1" applyAlignment="1">
      <alignment horizontal="center"/>
    </xf>
    <xf numFmtId="14" fontId="0" fillId="0" borderId="45" xfId="0" applyNumberFormat="1" applyBorder="1"/>
    <xf numFmtId="14" fontId="0" fillId="0" borderId="46" xfId="0" applyNumberFormat="1" applyBorder="1"/>
    <xf numFmtId="0" fontId="2" fillId="6" borderId="40" xfId="0" applyFont="1" applyFill="1" applyBorder="1" applyAlignment="1">
      <alignment horizontal="right"/>
    </xf>
    <xf numFmtId="0" fontId="2" fillId="5" borderId="40" xfId="0" applyFont="1" applyFill="1" applyBorder="1" applyAlignment="1">
      <alignment horizontal="right"/>
    </xf>
    <xf numFmtId="0" fontId="2" fillId="2" borderId="27" xfId="0" applyFont="1" applyFill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4" xfId="0" applyBorder="1" applyAlignment="1">
      <alignment horizontal="right"/>
    </xf>
    <xf numFmtId="0" fontId="0" fillId="0" borderId="9" xfId="0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right"/>
    </xf>
    <xf numFmtId="0" fontId="3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/>
    <xf numFmtId="44" fontId="3" fillId="0" borderId="11" xfId="1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8" fillId="0" borderId="0" xfId="0" applyFont="1" applyAlignment="1">
      <alignment vertical="center"/>
    </xf>
    <xf numFmtId="44" fontId="5" fillId="4" borderId="24" xfId="1" applyFont="1" applyFill="1" applyBorder="1" applyAlignment="1">
      <alignment vertical="center" wrapText="1"/>
    </xf>
    <xf numFmtId="44" fontId="3" fillId="0" borderId="10" xfId="1" applyFont="1" applyBorder="1" applyAlignment="1">
      <alignment vertical="center" wrapText="1"/>
    </xf>
    <xf numFmtId="0" fontId="9" fillId="0" borderId="7" xfId="0" applyFont="1" applyBorder="1" applyAlignment="1">
      <alignment horizontal="center"/>
    </xf>
    <xf numFmtId="44" fontId="3" fillId="0" borderId="7" xfId="1" applyFont="1" applyFill="1" applyBorder="1" applyAlignment="1">
      <alignment horizontal="center" vertical="center" wrapText="1"/>
    </xf>
    <xf numFmtId="44" fontId="3" fillId="0" borderId="8" xfId="1" applyFont="1" applyFill="1" applyBorder="1" applyAlignment="1">
      <alignment horizontal="center" vertical="center" wrapText="1"/>
    </xf>
    <xf numFmtId="44" fontId="3" fillId="0" borderId="7" xfId="1" applyFont="1" applyBorder="1" applyAlignment="1">
      <alignment horizontal="center" vertical="center" wrapText="1"/>
    </xf>
    <xf numFmtId="44" fontId="3" fillId="0" borderId="8" xfId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wrapText="1"/>
    </xf>
    <xf numFmtId="44" fontId="5" fillId="3" borderId="11" xfId="1" applyFont="1" applyFill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9" fillId="0" borderId="7" xfId="0" applyFont="1" applyBorder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4" fontId="3" fillId="0" borderId="47" xfId="1" applyFont="1" applyFill="1" applyBorder="1" applyAlignment="1">
      <alignment vertical="center" wrapText="1"/>
    </xf>
    <xf numFmtId="44" fontId="3" fillId="0" borderId="10" xfId="1" applyFont="1" applyFill="1" applyBorder="1" applyAlignment="1">
      <alignment vertical="center"/>
    </xf>
    <xf numFmtId="44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7" xfId="0" applyFont="1" applyBorder="1" applyAlignment="1">
      <alignment horizontal="left"/>
    </xf>
    <xf numFmtId="0" fontId="3" fillId="5" borderId="9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center" vertical="center"/>
    </xf>
    <xf numFmtId="44" fontId="3" fillId="5" borderId="10" xfId="1" applyFont="1" applyFill="1" applyBorder="1" applyAlignment="1">
      <alignment vertical="center"/>
    </xf>
    <xf numFmtId="0" fontId="3" fillId="5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10" fontId="2" fillId="2" borderId="28" xfId="2" applyNumberFormat="1" applyFont="1" applyFill="1" applyBorder="1" applyAlignment="1">
      <alignment horizontal="center"/>
    </xf>
    <xf numFmtId="2" fontId="11" fillId="0" borderId="0" xfId="0" applyNumberFormat="1" applyFont="1" applyAlignment="1">
      <alignment vertical="center"/>
    </xf>
    <xf numFmtId="0" fontId="3" fillId="5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3" borderId="21" xfId="0" applyFont="1" applyFill="1" applyBorder="1" applyAlignment="1">
      <alignment horizontal="right" vertical="center" wrapText="1"/>
    </xf>
    <xf numFmtId="0" fontId="5" fillId="3" borderId="22" xfId="0" applyFont="1" applyFill="1" applyBorder="1" applyAlignment="1">
      <alignment horizontal="right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right" vertical="center" wrapText="1"/>
    </xf>
    <xf numFmtId="0" fontId="5" fillId="4" borderId="17" xfId="0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3" borderId="2" xfId="0" applyFont="1" applyFill="1" applyBorder="1" applyAlignment="1">
      <alignment horizontal="right" vertical="center" wrapText="1"/>
    </xf>
    <xf numFmtId="0" fontId="5" fillId="3" borderId="17" xfId="0" applyFont="1" applyFill="1" applyBorder="1" applyAlignment="1">
      <alignment horizontal="right" vertical="center" wrapText="1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4">
    <cellStyle name="Moeda" xfId="1" builtinId="4"/>
    <cellStyle name="Moeda 2" xfId="3" xr:uid="{A0F26712-2267-4A36-8792-C57DEC6B27F9}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594360</xdr:colOff>
      <xdr:row>12</xdr:row>
      <xdr:rowOff>19050</xdr:rowOff>
    </xdr:from>
    <xdr:ext cx="3223062" cy="358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5BCB1158-7733-43CA-9415-683AA3D865F5}"/>
                </a:ext>
              </a:extLst>
            </xdr:cNvPr>
            <xdr:cNvSpPr txBox="1"/>
          </xdr:nvSpPr>
          <xdr:spPr>
            <a:xfrm>
              <a:off x="594360" y="2335530"/>
              <a:ext cx="3223062" cy="358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1" i="1">
                        <a:latin typeface="Cambria Math" panose="02040503050406030204" pitchFamily="18" charset="0"/>
                      </a:rPr>
                      <m:t>𝑩𝑫𝑰</m:t>
                    </m:r>
                    <m:r>
                      <a:rPr lang="pt-BR" sz="1100" b="1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BR" sz="11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𝟏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+</m:t>
                        </m:r>
                        <m:d>
                          <m:dPr>
                            <m:ctrlPr>
                              <a:rPr lang="pt-BR" sz="1100" b="1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pt-BR" sz="1100" b="1" i="1">
                                <a:latin typeface="Cambria Math" panose="02040503050406030204" pitchFamily="18" charset="0"/>
                              </a:rPr>
                              <m:t>𝑨𝑪</m:t>
                            </m:r>
                            <m:r>
                              <a:rPr lang="pt-BR" sz="1100" b="1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pt-BR" sz="1100" b="1" i="1">
                                <a:latin typeface="Cambria Math" panose="02040503050406030204" pitchFamily="18" charset="0"/>
                              </a:rPr>
                              <m:t>𝑹</m:t>
                            </m:r>
                            <m:r>
                              <a:rPr lang="pt-BR" sz="1100" b="1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pt-BR" sz="1100" b="1" i="1">
                                <a:latin typeface="Cambria Math" panose="02040503050406030204" pitchFamily="18" charset="0"/>
                              </a:rPr>
                              <m:t>𝑺</m:t>
                            </m:r>
                            <m:r>
                              <a:rPr lang="pt-BR" sz="1100" b="1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pt-BR" sz="1100" b="1" i="1">
                                <a:latin typeface="Cambria Math" panose="02040503050406030204" pitchFamily="18" charset="0"/>
                              </a:rPr>
                              <m:t>𝑮</m:t>
                            </m:r>
                          </m:e>
                        </m:d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)(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𝟏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𝑫𝑭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)(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𝟏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𝑳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)</m:t>
                        </m:r>
                      </m:num>
                      <m:den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𝟏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𝑻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)</m:t>
                        </m:r>
                      </m:den>
                    </m:f>
                    <m:r>
                      <a:rPr lang="pt-BR" sz="11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−1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5BCB1158-7733-43CA-9415-683AA3D865F5}"/>
                </a:ext>
              </a:extLst>
            </xdr:cNvPr>
            <xdr:cNvSpPr txBox="1"/>
          </xdr:nvSpPr>
          <xdr:spPr>
            <a:xfrm>
              <a:off x="594360" y="2335530"/>
              <a:ext cx="3223062" cy="358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100" b="1" i="0">
                  <a:latin typeface="Cambria Math" panose="02040503050406030204" pitchFamily="18" charset="0"/>
                </a:rPr>
                <a:t>𝑩𝑫𝑰=((𝟏+(𝑨𝑪+𝑹+𝑺+𝑮))(𝟏+𝑫𝑭)(𝟏+𝑳))/((𝟏−𝑻))  </a:t>
              </a:r>
              <a:r>
                <a:rPr lang="pt-BR" sz="1100" b="0" i="0">
                  <a:latin typeface="Cambria Math" panose="02040503050406030204" pitchFamily="18" charset="0"/>
                </a:rPr>
                <a:t>−1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0</xdr:col>
      <xdr:colOff>594360</xdr:colOff>
      <xdr:row>12</xdr:row>
      <xdr:rowOff>19050</xdr:rowOff>
    </xdr:from>
    <xdr:ext cx="3223062" cy="358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1315E6AB-951E-4A00-BDFB-C7F10F46F43E}"/>
                </a:ext>
              </a:extLst>
            </xdr:cNvPr>
            <xdr:cNvSpPr txBox="1"/>
          </xdr:nvSpPr>
          <xdr:spPr>
            <a:xfrm>
              <a:off x="594360" y="2327910"/>
              <a:ext cx="3223062" cy="358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1" i="1">
                        <a:latin typeface="Cambria Math" panose="02040503050406030204" pitchFamily="18" charset="0"/>
                      </a:rPr>
                      <m:t>𝑩𝑫𝑰</m:t>
                    </m:r>
                    <m:r>
                      <a:rPr lang="pt-BR" sz="1100" b="1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BR" sz="11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𝟏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+</m:t>
                        </m:r>
                        <m:d>
                          <m:dPr>
                            <m:ctrlPr>
                              <a:rPr lang="pt-BR" sz="1100" b="1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pt-BR" sz="1100" b="1" i="1">
                                <a:latin typeface="Cambria Math" panose="02040503050406030204" pitchFamily="18" charset="0"/>
                              </a:rPr>
                              <m:t>𝑨𝑪</m:t>
                            </m:r>
                            <m:r>
                              <a:rPr lang="pt-BR" sz="1100" b="1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pt-BR" sz="1100" b="1" i="1">
                                <a:latin typeface="Cambria Math" panose="02040503050406030204" pitchFamily="18" charset="0"/>
                              </a:rPr>
                              <m:t>𝑹</m:t>
                            </m:r>
                            <m:r>
                              <a:rPr lang="pt-BR" sz="1100" b="1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pt-BR" sz="1100" b="1" i="1">
                                <a:latin typeface="Cambria Math" panose="02040503050406030204" pitchFamily="18" charset="0"/>
                              </a:rPr>
                              <m:t>𝑺</m:t>
                            </m:r>
                            <m:r>
                              <a:rPr lang="pt-BR" sz="1100" b="1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pt-BR" sz="1100" b="1" i="1">
                                <a:latin typeface="Cambria Math" panose="02040503050406030204" pitchFamily="18" charset="0"/>
                              </a:rPr>
                              <m:t>𝑮</m:t>
                            </m:r>
                          </m:e>
                        </m:d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)(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𝟏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𝑫𝑭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)(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𝟏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𝑳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)</m:t>
                        </m:r>
                      </m:num>
                      <m:den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𝟏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𝑻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)</m:t>
                        </m:r>
                      </m:den>
                    </m:f>
                    <m:r>
                      <a:rPr lang="pt-BR" sz="11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−1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1315E6AB-951E-4A00-BDFB-C7F10F46F43E}"/>
                </a:ext>
              </a:extLst>
            </xdr:cNvPr>
            <xdr:cNvSpPr txBox="1"/>
          </xdr:nvSpPr>
          <xdr:spPr>
            <a:xfrm>
              <a:off x="594360" y="2327910"/>
              <a:ext cx="3223062" cy="358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1" i="0">
                  <a:latin typeface="Cambria Math" panose="02040503050406030204" pitchFamily="18" charset="0"/>
                </a:rPr>
                <a:t>𝑩𝑫𝑰=((𝟏+(𝑨𝑪+𝑹+𝑺+𝑮))(𝟏+𝑫𝑭)(𝟏+𝑳))/((𝟏−𝑻))  </a:t>
              </a:r>
              <a:r>
                <a:rPr lang="pt-BR" sz="1100" b="0" i="0">
                  <a:latin typeface="Cambria Math" panose="02040503050406030204" pitchFamily="18" charset="0"/>
                </a:rPr>
                <a:t>−1</a:t>
              </a:r>
              <a:endParaRPr lang="pt-BR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B0B4A-0C0A-415A-9473-F10833F906B4}">
  <sheetPr>
    <pageSetUpPr fitToPage="1"/>
  </sheetPr>
  <dimension ref="A1:M150"/>
  <sheetViews>
    <sheetView tabSelected="1" zoomScale="70" zoomScaleNormal="70" workbookViewId="0">
      <selection activeCell="E108" sqref="E108"/>
    </sheetView>
  </sheetViews>
  <sheetFormatPr defaultRowHeight="13.8" x14ac:dyDescent="0.3"/>
  <cols>
    <col min="1" max="1" width="10.88671875" style="27" customWidth="1"/>
    <col min="2" max="2" width="18.109375" style="27" customWidth="1"/>
    <col min="3" max="3" width="119.33203125" style="16" customWidth="1"/>
    <col min="4" max="4" width="16.33203125" style="27" bestFit="1" customWidth="1"/>
    <col min="5" max="5" width="12" style="27" bestFit="1" customWidth="1"/>
    <col min="6" max="6" width="18" style="16" customWidth="1"/>
    <col min="7" max="7" width="16.77734375" style="16" customWidth="1"/>
    <col min="8" max="8" width="17.44140625" style="16" bestFit="1" customWidth="1"/>
    <col min="9" max="9" width="14.6640625" style="16" bestFit="1" customWidth="1"/>
    <col min="10" max="10" width="14.21875" style="16" bestFit="1" customWidth="1"/>
    <col min="11" max="11" width="7.77734375" style="16" bestFit="1" customWidth="1"/>
    <col min="12" max="16384" width="8.88671875" style="16"/>
  </cols>
  <sheetData>
    <row r="1" spans="1:8" ht="39" customHeight="1" thickBot="1" x14ac:dyDescent="0.35">
      <c r="A1" s="179" t="s">
        <v>113</v>
      </c>
      <c r="B1" s="180"/>
      <c r="C1" s="180"/>
      <c r="D1" s="180"/>
      <c r="E1" s="180"/>
      <c r="F1" s="180"/>
      <c r="G1" s="180"/>
      <c r="H1" s="181"/>
    </row>
    <row r="2" spans="1:8" ht="25.05" customHeight="1" x14ac:dyDescent="0.3">
      <c r="A2" s="173" t="s">
        <v>9</v>
      </c>
      <c r="B2" s="175" t="s">
        <v>114</v>
      </c>
      <c r="C2" s="175"/>
      <c r="D2" s="175"/>
      <c r="E2" s="176"/>
      <c r="F2" s="184" t="s">
        <v>77</v>
      </c>
      <c r="G2" s="185"/>
      <c r="H2" s="186"/>
    </row>
    <row r="3" spans="1:8" ht="25.05" customHeight="1" x14ac:dyDescent="0.3">
      <c r="A3" s="173"/>
      <c r="B3" s="175"/>
      <c r="C3" s="175"/>
      <c r="D3" s="175"/>
      <c r="E3" s="176"/>
      <c r="F3" s="187" t="s">
        <v>6</v>
      </c>
      <c r="G3" s="188"/>
      <c r="H3" s="10">
        <v>44774</v>
      </c>
    </row>
    <row r="4" spans="1:8" ht="25.05" customHeight="1" x14ac:dyDescent="0.3">
      <c r="A4" s="174"/>
      <c r="B4" s="177"/>
      <c r="C4" s="177"/>
      <c r="D4" s="177"/>
      <c r="E4" s="178"/>
      <c r="F4" s="187" t="s">
        <v>7</v>
      </c>
      <c r="G4" s="188"/>
      <c r="H4" s="11">
        <v>44848</v>
      </c>
    </row>
    <row r="5" spans="1:8" ht="25.05" customHeight="1" thickBot="1" x14ac:dyDescent="0.35">
      <c r="A5" s="3" t="s">
        <v>10</v>
      </c>
      <c r="B5" s="182" t="s">
        <v>5</v>
      </c>
      <c r="C5" s="182"/>
      <c r="D5" s="182"/>
      <c r="E5" s="183"/>
      <c r="F5" s="189" t="s">
        <v>2</v>
      </c>
      <c r="G5" s="190"/>
      <c r="H5" s="12">
        <f>'CÁLCULO BDI'!C8</f>
        <v>0.27539813678414582</v>
      </c>
    </row>
    <row r="6" spans="1:8" ht="25.05" customHeight="1" thickBot="1" x14ac:dyDescent="0.35">
      <c r="A6" s="156" t="s">
        <v>343</v>
      </c>
      <c r="B6" s="157"/>
      <c r="C6" s="157"/>
      <c r="D6" s="157"/>
      <c r="E6" s="157"/>
      <c r="F6" s="157"/>
      <c r="G6" s="157"/>
      <c r="H6" s="158"/>
    </row>
    <row r="7" spans="1:8" ht="25.05" customHeight="1" x14ac:dyDescent="0.3">
      <c r="A7" s="167" t="s">
        <v>8</v>
      </c>
      <c r="B7" s="169" t="s">
        <v>55</v>
      </c>
      <c r="C7" s="169" t="s">
        <v>71</v>
      </c>
      <c r="D7" s="169" t="s">
        <v>73</v>
      </c>
      <c r="E7" s="169" t="s">
        <v>74</v>
      </c>
      <c r="F7" s="164" t="s">
        <v>72</v>
      </c>
      <c r="G7" s="164" t="s">
        <v>75</v>
      </c>
      <c r="H7" s="166"/>
    </row>
    <row r="8" spans="1:8" ht="25.05" customHeight="1" x14ac:dyDescent="0.3">
      <c r="A8" s="168"/>
      <c r="B8" s="170"/>
      <c r="C8" s="170"/>
      <c r="D8" s="170"/>
      <c r="E8" s="170"/>
      <c r="F8" s="165"/>
      <c r="G8" s="116" t="s">
        <v>53</v>
      </c>
      <c r="H8" s="51" t="s">
        <v>76</v>
      </c>
    </row>
    <row r="9" spans="1:8" ht="25.05" customHeight="1" x14ac:dyDescent="0.3">
      <c r="A9" s="17" t="s">
        <v>208</v>
      </c>
      <c r="B9" s="43">
        <v>90778</v>
      </c>
      <c r="C9" s="18" t="s">
        <v>120</v>
      </c>
      <c r="D9" s="13" t="s">
        <v>89</v>
      </c>
      <c r="E9" s="14">
        <f>2*29</f>
        <v>58</v>
      </c>
      <c r="F9" s="15">
        <v>117.56</v>
      </c>
      <c r="G9" s="15">
        <f t="shared" ref="G9:G12" si="0">F9*(1+$H$5)</f>
        <v>149.93580496034417</v>
      </c>
      <c r="H9" s="19">
        <f t="shared" ref="H9:H12" si="1">E9*G9</f>
        <v>8696.2766876999613</v>
      </c>
    </row>
    <row r="10" spans="1:8" ht="25.05" customHeight="1" x14ac:dyDescent="0.3">
      <c r="A10" s="17" t="s">
        <v>209</v>
      </c>
      <c r="B10" s="13">
        <v>90776</v>
      </c>
      <c r="C10" s="18" t="s">
        <v>121</v>
      </c>
      <c r="D10" s="13" t="s">
        <v>89</v>
      </c>
      <c r="E10" s="14">
        <f>8.8*29</f>
        <v>255.20000000000002</v>
      </c>
      <c r="F10" s="15">
        <v>41.47</v>
      </c>
      <c r="G10" s="15">
        <f t="shared" si="0"/>
        <v>52.890760732438522</v>
      </c>
      <c r="H10" s="19">
        <f t="shared" si="1"/>
        <v>13497.722138918312</v>
      </c>
    </row>
    <row r="11" spans="1:8" ht="25.05" customHeight="1" x14ac:dyDescent="0.3">
      <c r="A11" s="17" t="s">
        <v>210</v>
      </c>
      <c r="B11" s="13">
        <v>100309</v>
      </c>
      <c r="C11" s="18" t="s">
        <v>34</v>
      </c>
      <c r="D11" s="13" t="s">
        <v>89</v>
      </c>
      <c r="E11" s="14">
        <f>4*29</f>
        <v>116</v>
      </c>
      <c r="F11" s="15">
        <v>34.03</v>
      </c>
      <c r="G11" s="15">
        <f t="shared" si="0"/>
        <v>43.401798594764486</v>
      </c>
      <c r="H11" s="19">
        <f t="shared" si="1"/>
        <v>5034.6086369926807</v>
      </c>
    </row>
    <row r="12" spans="1:8" ht="25.05" customHeight="1" thickBot="1" x14ac:dyDescent="0.35">
      <c r="A12" s="20" t="s">
        <v>211</v>
      </c>
      <c r="B12" s="21" t="s">
        <v>262</v>
      </c>
      <c r="C12" s="22" t="s">
        <v>168</v>
      </c>
      <c r="D12" s="21" t="s">
        <v>90</v>
      </c>
      <c r="E12" s="23">
        <v>1</v>
      </c>
      <c r="F12" s="123">
        <v>233.94</v>
      </c>
      <c r="G12" s="24">
        <f t="shared" si="0"/>
        <v>298.36664011928309</v>
      </c>
      <c r="H12" s="118">
        <f t="shared" si="1"/>
        <v>298.36664011928309</v>
      </c>
    </row>
    <row r="13" spans="1:8" ht="25.05" customHeight="1" thickBot="1" x14ac:dyDescent="0.35">
      <c r="A13" s="203" t="s">
        <v>78</v>
      </c>
      <c r="B13" s="204"/>
      <c r="C13" s="204"/>
      <c r="D13" s="204"/>
      <c r="E13" s="204"/>
      <c r="F13" s="204"/>
      <c r="G13" s="204"/>
      <c r="H13" s="67">
        <f>SUM(H9:H12)</f>
        <v>27526.974103730237</v>
      </c>
    </row>
    <row r="14" spans="1:8" ht="25.05" customHeight="1" thickBot="1" x14ac:dyDescent="0.35">
      <c r="A14" s="156" t="s">
        <v>138</v>
      </c>
      <c r="B14" s="157"/>
      <c r="C14" s="157"/>
      <c r="D14" s="157"/>
      <c r="E14" s="157"/>
      <c r="F14" s="157"/>
      <c r="G14" s="157"/>
      <c r="H14" s="158"/>
    </row>
    <row r="15" spans="1:8" ht="25.05" customHeight="1" x14ac:dyDescent="0.3">
      <c r="A15" s="167" t="s">
        <v>8</v>
      </c>
      <c r="B15" s="169" t="s">
        <v>55</v>
      </c>
      <c r="C15" s="169" t="s">
        <v>71</v>
      </c>
      <c r="D15" s="169" t="s">
        <v>73</v>
      </c>
      <c r="E15" s="169" t="s">
        <v>74</v>
      </c>
      <c r="F15" s="164" t="s">
        <v>72</v>
      </c>
      <c r="G15" s="164" t="s">
        <v>75</v>
      </c>
      <c r="H15" s="166"/>
    </row>
    <row r="16" spans="1:8" ht="25.05" customHeight="1" x14ac:dyDescent="0.3">
      <c r="A16" s="168"/>
      <c r="B16" s="170"/>
      <c r="C16" s="170"/>
      <c r="D16" s="170"/>
      <c r="E16" s="170"/>
      <c r="F16" s="165"/>
      <c r="G16" s="116" t="s">
        <v>53</v>
      </c>
      <c r="H16" s="51" t="s">
        <v>76</v>
      </c>
    </row>
    <row r="17" spans="1:9" ht="13.8" customHeight="1" x14ac:dyDescent="0.25">
      <c r="A17" s="17" t="s">
        <v>11</v>
      </c>
      <c r="B17" s="120">
        <v>10777</v>
      </c>
      <c r="C17" s="117" t="s">
        <v>115</v>
      </c>
      <c r="D17" s="13" t="s">
        <v>116</v>
      </c>
      <c r="E17" s="14">
        <v>1</v>
      </c>
      <c r="F17" s="15">
        <v>776.4</v>
      </c>
      <c r="G17" s="15">
        <f t="shared" ref="G17:G19" si="2">F17*(1+$H$5)</f>
        <v>990.21911339921076</v>
      </c>
      <c r="H17" s="19">
        <f t="shared" ref="H17:H21" si="3">E17*G17</f>
        <v>990.21911339921076</v>
      </c>
      <c r="I17" s="143"/>
    </row>
    <row r="18" spans="1:9" ht="13.8" customHeight="1" x14ac:dyDescent="0.25">
      <c r="A18" s="17" t="s">
        <v>12</v>
      </c>
      <c r="B18" s="120" t="s">
        <v>298</v>
      </c>
      <c r="C18" s="117" t="s">
        <v>285</v>
      </c>
      <c r="D18" s="13" t="s">
        <v>90</v>
      </c>
      <c r="E18" s="14">
        <v>1</v>
      </c>
      <c r="F18" s="15">
        <v>450</v>
      </c>
      <c r="G18" s="15">
        <f t="shared" si="2"/>
        <v>573.92916155286559</v>
      </c>
      <c r="H18" s="19">
        <f t="shared" si="3"/>
        <v>573.92916155286559</v>
      </c>
      <c r="I18" s="143"/>
    </row>
    <row r="19" spans="1:9" ht="13.8" customHeight="1" x14ac:dyDescent="0.3">
      <c r="A19" s="17" t="s">
        <v>13</v>
      </c>
      <c r="B19" s="13">
        <v>88316</v>
      </c>
      <c r="C19" s="18" t="s">
        <v>35</v>
      </c>
      <c r="D19" s="13" t="s">
        <v>89</v>
      </c>
      <c r="E19" s="14">
        <v>8.8000000000000007</v>
      </c>
      <c r="F19" s="15">
        <v>23.71</v>
      </c>
      <c r="G19" s="15">
        <f t="shared" si="2"/>
        <v>30.239689823152098</v>
      </c>
      <c r="H19" s="19">
        <f t="shared" si="3"/>
        <v>266.10927044373847</v>
      </c>
      <c r="I19" s="143"/>
    </row>
    <row r="20" spans="1:9" ht="13.8" customHeight="1" x14ac:dyDescent="0.3">
      <c r="A20" s="17" t="s">
        <v>14</v>
      </c>
      <c r="B20" s="13">
        <v>4813</v>
      </c>
      <c r="C20" s="18" t="s">
        <v>112</v>
      </c>
      <c r="D20" s="13" t="s">
        <v>92</v>
      </c>
      <c r="E20" s="14">
        <f>2*1.125</f>
        <v>2.25</v>
      </c>
      <c r="F20" s="15">
        <v>445</v>
      </c>
      <c r="G20" s="15">
        <f t="shared" ref="G20:G21" si="4">F20*(1+$H$5)</f>
        <v>567.55217086894493</v>
      </c>
      <c r="H20" s="19">
        <f t="shared" si="3"/>
        <v>1276.9923844551261</v>
      </c>
    </row>
    <row r="21" spans="1:9" ht="13.8" customHeight="1" thickBot="1" x14ac:dyDescent="0.35">
      <c r="A21" s="20" t="s">
        <v>299</v>
      </c>
      <c r="B21" s="21">
        <v>88309</v>
      </c>
      <c r="C21" s="18" t="s">
        <v>41</v>
      </c>
      <c r="D21" s="13" t="s">
        <v>89</v>
      </c>
      <c r="E21" s="14">
        <v>8.8000000000000007</v>
      </c>
      <c r="F21" s="25">
        <v>30.99</v>
      </c>
      <c r="G21" s="24">
        <f t="shared" si="4"/>
        <v>39.524588258940675</v>
      </c>
      <c r="H21" s="118">
        <f t="shared" si="3"/>
        <v>347.81637667867795</v>
      </c>
    </row>
    <row r="22" spans="1:9" ht="25.05" customHeight="1" thickBot="1" x14ac:dyDescent="0.35">
      <c r="A22" s="203" t="s">
        <v>78</v>
      </c>
      <c r="B22" s="204"/>
      <c r="C22" s="204"/>
      <c r="D22" s="204"/>
      <c r="E22" s="204"/>
      <c r="F22" s="204"/>
      <c r="G22" s="204"/>
      <c r="H22" s="67">
        <f>SUM(H17:H21)</f>
        <v>3455.0663065296189</v>
      </c>
    </row>
    <row r="23" spans="1:9" ht="25.05" customHeight="1" thickBot="1" x14ac:dyDescent="0.35">
      <c r="A23" s="156" t="s">
        <v>167</v>
      </c>
      <c r="B23" s="157"/>
      <c r="C23" s="157"/>
      <c r="D23" s="157"/>
      <c r="E23" s="157"/>
      <c r="F23" s="157"/>
      <c r="G23" s="157"/>
      <c r="H23" s="158"/>
      <c r="I23" s="144"/>
    </row>
    <row r="24" spans="1:9" ht="15" customHeight="1" x14ac:dyDescent="0.3">
      <c r="A24" s="167" t="s">
        <v>8</v>
      </c>
      <c r="B24" s="169" t="s">
        <v>55</v>
      </c>
      <c r="C24" s="169" t="s">
        <v>71</v>
      </c>
      <c r="D24" s="169" t="s">
        <v>73</v>
      </c>
      <c r="E24" s="169" t="s">
        <v>74</v>
      </c>
      <c r="F24" s="164" t="s">
        <v>72</v>
      </c>
      <c r="G24" s="164" t="s">
        <v>75</v>
      </c>
      <c r="H24" s="166"/>
    </row>
    <row r="25" spans="1:9" ht="14.4" customHeight="1" x14ac:dyDescent="0.3">
      <c r="A25" s="168"/>
      <c r="B25" s="170"/>
      <c r="C25" s="170"/>
      <c r="D25" s="170"/>
      <c r="E25" s="170"/>
      <c r="F25" s="165"/>
      <c r="G25" s="116" t="s">
        <v>53</v>
      </c>
      <c r="H25" s="51" t="s">
        <v>76</v>
      </c>
    </row>
    <row r="26" spans="1:9" ht="27.6" x14ac:dyDescent="0.3">
      <c r="A26" s="17" t="s">
        <v>179</v>
      </c>
      <c r="B26" s="13">
        <v>20193</v>
      </c>
      <c r="C26" s="18" t="s">
        <v>170</v>
      </c>
      <c r="D26" s="13" t="s">
        <v>169</v>
      </c>
      <c r="E26" s="14">
        <f>E34</f>
        <v>86.8</v>
      </c>
      <c r="F26" s="25">
        <v>6.66</v>
      </c>
      <c r="G26" s="15">
        <f t="shared" ref="G26" si="5">F26*(1+$H$5)</f>
        <v>8.4941515909824119</v>
      </c>
      <c r="H26" s="19">
        <f t="shared" ref="H26" si="6">E26*G26</f>
        <v>737.29235809727334</v>
      </c>
    </row>
    <row r="27" spans="1:9" x14ac:dyDescent="0.3">
      <c r="A27" s="17" t="s">
        <v>180</v>
      </c>
      <c r="B27" s="13">
        <v>97622</v>
      </c>
      <c r="C27" s="18" t="s">
        <v>32</v>
      </c>
      <c r="D27" s="13" t="s">
        <v>93</v>
      </c>
      <c r="E27" s="14">
        <f>2*0.18</f>
        <v>0.36</v>
      </c>
      <c r="F27" s="15">
        <v>62.09</v>
      </c>
      <c r="G27" s="15">
        <f t="shared" ref="G27:G39" si="7">F27*(1+$H$5)</f>
        <v>79.189470312927625</v>
      </c>
      <c r="H27" s="19">
        <f t="shared" ref="H27:H39" si="8">E27*G27</f>
        <v>28.508209312653943</v>
      </c>
    </row>
    <row r="28" spans="1:9" ht="27.6" x14ac:dyDescent="0.3">
      <c r="A28" s="17" t="s">
        <v>15</v>
      </c>
      <c r="B28" s="13">
        <v>87530</v>
      </c>
      <c r="C28" s="18" t="s">
        <v>33</v>
      </c>
      <c r="D28" s="13" t="s">
        <v>92</v>
      </c>
      <c r="E28" s="14">
        <f>8*0.15</f>
        <v>1.2</v>
      </c>
      <c r="F28" s="15">
        <v>41.03</v>
      </c>
      <c r="G28" s="15">
        <f t="shared" si="7"/>
        <v>52.329585552253505</v>
      </c>
      <c r="H28" s="19">
        <f t="shared" si="8"/>
        <v>62.795502662704202</v>
      </c>
      <c r="I28" s="144"/>
    </row>
    <row r="29" spans="1:9" x14ac:dyDescent="0.3">
      <c r="A29" s="17" t="s">
        <v>4</v>
      </c>
      <c r="B29" s="13">
        <v>93186</v>
      </c>
      <c r="C29" s="18" t="s">
        <v>176</v>
      </c>
      <c r="D29" s="13" t="s">
        <v>91</v>
      </c>
      <c r="E29" s="14">
        <f>1.4*4</f>
        <v>5.6</v>
      </c>
      <c r="F29" s="15">
        <v>105.38</v>
      </c>
      <c r="G29" s="15">
        <f t="shared" si="7"/>
        <v>134.40145565431328</v>
      </c>
      <c r="H29" s="19">
        <f t="shared" si="8"/>
        <v>752.64815166415428</v>
      </c>
      <c r="I29" s="144"/>
    </row>
    <row r="30" spans="1:9" x14ac:dyDescent="0.3">
      <c r="A30" s="17" t="s">
        <v>16</v>
      </c>
      <c r="B30" s="13" t="s">
        <v>104</v>
      </c>
      <c r="C30" s="18" t="s">
        <v>256</v>
      </c>
      <c r="D30" s="13" t="s">
        <v>92</v>
      </c>
      <c r="E30" s="14">
        <v>65</v>
      </c>
      <c r="F30" s="15">
        <v>2.15</v>
      </c>
      <c r="G30" s="141">
        <f t="shared" si="7"/>
        <v>2.7421059940859136</v>
      </c>
      <c r="H30" s="19">
        <f t="shared" si="8"/>
        <v>178.23688961558437</v>
      </c>
      <c r="I30" s="144"/>
    </row>
    <row r="31" spans="1:9" x14ac:dyDescent="0.3">
      <c r="A31" s="17" t="s">
        <v>17</v>
      </c>
      <c r="B31" s="13">
        <v>42408</v>
      </c>
      <c r="C31" s="18" t="s">
        <v>40</v>
      </c>
      <c r="D31" s="13" t="s">
        <v>92</v>
      </c>
      <c r="E31" s="14">
        <v>46</v>
      </c>
      <c r="F31" s="25">
        <v>2.17</v>
      </c>
      <c r="G31" s="25">
        <f t="shared" si="7"/>
        <v>2.7676139568215965</v>
      </c>
      <c r="H31" s="26">
        <f t="shared" si="8"/>
        <v>127.31024201379344</v>
      </c>
      <c r="I31" s="144"/>
    </row>
    <row r="32" spans="1:9" x14ac:dyDescent="0.3">
      <c r="A32" s="17" t="s">
        <v>18</v>
      </c>
      <c r="B32" s="13">
        <v>88316</v>
      </c>
      <c r="C32" s="18" t="s">
        <v>35</v>
      </c>
      <c r="D32" s="13" t="s">
        <v>89</v>
      </c>
      <c r="E32" s="14">
        <f>4.5*8.8</f>
        <v>39.6</v>
      </c>
      <c r="F32" s="15">
        <v>23.71</v>
      </c>
      <c r="G32" s="25">
        <f t="shared" si="7"/>
        <v>30.239689823152098</v>
      </c>
      <c r="H32" s="26">
        <f t="shared" si="8"/>
        <v>1197.491716996823</v>
      </c>
      <c r="I32" s="144"/>
    </row>
    <row r="33" spans="1:10" x14ac:dyDescent="0.3">
      <c r="A33" s="17" t="s">
        <v>154</v>
      </c>
      <c r="B33" s="13">
        <v>88309</v>
      </c>
      <c r="C33" s="18" t="s">
        <v>41</v>
      </c>
      <c r="D33" s="13" t="s">
        <v>89</v>
      </c>
      <c r="E33" s="14">
        <f>4.5*8.8</f>
        <v>39.6</v>
      </c>
      <c r="F33" s="25">
        <v>30.99</v>
      </c>
      <c r="G33" s="25">
        <f t="shared" si="7"/>
        <v>39.524588258940675</v>
      </c>
      <c r="H33" s="26">
        <f t="shared" si="8"/>
        <v>1565.1736950540508</v>
      </c>
      <c r="I33" s="144"/>
    </row>
    <row r="34" spans="1:10" ht="27.6" x14ac:dyDescent="0.3">
      <c r="A34" s="17" t="s">
        <v>155</v>
      </c>
      <c r="B34" s="13">
        <v>97063</v>
      </c>
      <c r="C34" s="18" t="s">
        <v>42</v>
      </c>
      <c r="D34" s="13" t="s">
        <v>92</v>
      </c>
      <c r="E34" s="14">
        <f>12.4*7</f>
        <v>86.8</v>
      </c>
      <c r="F34" s="25">
        <v>12.1</v>
      </c>
      <c r="G34" s="25">
        <f t="shared" si="7"/>
        <v>15.432317455088164</v>
      </c>
      <c r="H34" s="26">
        <f t="shared" si="8"/>
        <v>1339.5251551016527</v>
      </c>
      <c r="I34" s="144"/>
    </row>
    <row r="35" spans="1:10" x14ac:dyDescent="0.3">
      <c r="A35" s="17" t="s">
        <v>19</v>
      </c>
      <c r="B35" s="13" t="s">
        <v>105</v>
      </c>
      <c r="C35" s="18" t="s">
        <v>94</v>
      </c>
      <c r="D35" s="13" t="s">
        <v>1</v>
      </c>
      <c r="E35" s="14">
        <v>1</v>
      </c>
      <c r="F35" s="25">
        <v>250</v>
      </c>
      <c r="G35" s="25">
        <f t="shared" si="7"/>
        <v>318.84953419603647</v>
      </c>
      <c r="H35" s="26">
        <f t="shared" si="8"/>
        <v>318.84953419603647</v>
      </c>
      <c r="I35" s="144"/>
    </row>
    <row r="36" spans="1:10" x14ac:dyDescent="0.3">
      <c r="A36" s="17" t="s">
        <v>20</v>
      </c>
      <c r="B36" s="13" t="s">
        <v>330</v>
      </c>
      <c r="C36" s="18" t="s">
        <v>377</v>
      </c>
      <c r="D36" s="13" t="s">
        <v>1</v>
      </c>
      <c r="E36" s="14">
        <v>2</v>
      </c>
      <c r="F36" s="15">
        <v>680</v>
      </c>
      <c r="G36" s="25">
        <f t="shared" si="7"/>
        <v>867.27073301321911</v>
      </c>
      <c r="H36" s="26">
        <f t="shared" si="8"/>
        <v>1734.5414660264382</v>
      </c>
      <c r="I36" s="154"/>
    </row>
    <row r="37" spans="1:10" ht="27.6" x14ac:dyDescent="0.3">
      <c r="A37" s="17" t="s">
        <v>156</v>
      </c>
      <c r="B37" s="13">
        <v>88414</v>
      </c>
      <c r="C37" s="18" t="s">
        <v>178</v>
      </c>
      <c r="D37" s="13" t="s">
        <v>92</v>
      </c>
      <c r="E37" s="14">
        <f>E38</f>
        <v>1.6</v>
      </c>
      <c r="F37" s="15">
        <v>5.65</v>
      </c>
      <c r="G37" s="25">
        <f t="shared" si="7"/>
        <v>7.205999472830424</v>
      </c>
      <c r="H37" s="26">
        <f t="shared" si="8"/>
        <v>11.529599156528679</v>
      </c>
      <c r="I37" s="144"/>
    </row>
    <row r="38" spans="1:10" ht="27.6" x14ac:dyDescent="0.3">
      <c r="A38" s="17" t="s">
        <v>181</v>
      </c>
      <c r="B38" s="13">
        <v>88421</v>
      </c>
      <c r="C38" s="18" t="s">
        <v>177</v>
      </c>
      <c r="D38" s="13" t="s">
        <v>92</v>
      </c>
      <c r="E38" s="14">
        <f>8*0.2</f>
        <v>1.6</v>
      </c>
      <c r="F38" s="25">
        <v>25.88</v>
      </c>
      <c r="G38" s="25">
        <f t="shared" si="7"/>
        <v>33.007303779973689</v>
      </c>
      <c r="H38" s="26">
        <f t="shared" si="8"/>
        <v>52.811686047957906</v>
      </c>
      <c r="I38" s="144"/>
    </row>
    <row r="39" spans="1:10" x14ac:dyDescent="0.3">
      <c r="A39" s="17" t="s">
        <v>157</v>
      </c>
      <c r="B39" s="13">
        <v>41954</v>
      </c>
      <c r="C39" s="18" t="s">
        <v>39</v>
      </c>
      <c r="D39" s="13" t="s">
        <v>91</v>
      </c>
      <c r="E39" s="14">
        <v>23</v>
      </c>
      <c r="F39" s="15">
        <v>90.64</v>
      </c>
      <c r="G39" s="25">
        <f t="shared" si="7"/>
        <v>115.60208711811498</v>
      </c>
      <c r="H39" s="26">
        <f t="shared" si="8"/>
        <v>2658.8480037166446</v>
      </c>
      <c r="I39" s="144"/>
    </row>
    <row r="40" spans="1:10" s="36" customFormat="1" ht="18" customHeight="1" thickBot="1" x14ac:dyDescent="0.35">
      <c r="A40" s="171" t="s">
        <v>78</v>
      </c>
      <c r="B40" s="172"/>
      <c r="C40" s="172"/>
      <c r="D40" s="172"/>
      <c r="E40" s="172"/>
      <c r="F40" s="172"/>
      <c r="G40" s="172"/>
      <c r="H40" s="35">
        <f>SUM(H26:H39)</f>
        <v>10765.562209662294</v>
      </c>
      <c r="J40" s="37"/>
    </row>
    <row r="41" spans="1:10" s="36" customFormat="1" ht="25.05" customHeight="1" thickBot="1" x14ac:dyDescent="0.35">
      <c r="A41" s="159" t="s">
        <v>134</v>
      </c>
      <c r="B41" s="160"/>
      <c r="C41" s="160"/>
      <c r="D41" s="160"/>
      <c r="E41" s="160"/>
      <c r="F41" s="160"/>
      <c r="G41" s="160"/>
      <c r="H41" s="161"/>
      <c r="J41" s="37"/>
    </row>
    <row r="42" spans="1:10" s="36" customFormat="1" ht="18" customHeight="1" x14ac:dyDescent="0.3">
      <c r="A42" s="162" t="s">
        <v>8</v>
      </c>
      <c r="B42" s="164" t="s">
        <v>55</v>
      </c>
      <c r="C42" s="164" t="s">
        <v>71</v>
      </c>
      <c r="D42" s="164" t="s">
        <v>73</v>
      </c>
      <c r="E42" s="164" t="s">
        <v>74</v>
      </c>
      <c r="F42" s="164" t="s">
        <v>72</v>
      </c>
      <c r="G42" s="164" t="s">
        <v>75</v>
      </c>
      <c r="H42" s="166"/>
      <c r="J42" s="37"/>
    </row>
    <row r="43" spans="1:10" s="36" customFormat="1" ht="18" customHeight="1" x14ac:dyDescent="0.3">
      <c r="A43" s="163"/>
      <c r="B43" s="165"/>
      <c r="C43" s="165"/>
      <c r="D43" s="165"/>
      <c r="E43" s="165"/>
      <c r="F43" s="165"/>
      <c r="G43" s="116" t="s">
        <v>53</v>
      </c>
      <c r="H43" s="119" t="s">
        <v>76</v>
      </c>
      <c r="J43" s="37"/>
    </row>
    <row r="44" spans="1:10" s="36" customFormat="1" ht="18" customHeight="1" x14ac:dyDescent="0.25">
      <c r="A44" s="17" t="s">
        <v>158</v>
      </c>
      <c r="B44" s="120">
        <v>7306</v>
      </c>
      <c r="C44" s="132" t="s">
        <v>117</v>
      </c>
      <c r="D44" s="13" t="s">
        <v>0</v>
      </c>
      <c r="E44" s="14">
        <v>7.2</v>
      </c>
      <c r="F44" s="15">
        <v>43.67</v>
      </c>
      <c r="G44" s="15">
        <f>F44*(1+$H$5)</f>
        <v>55.696636633363653</v>
      </c>
      <c r="H44" s="19">
        <f>E44*G44</f>
        <v>401.01578376021831</v>
      </c>
      <c r="J44" s="37"/>
    </row>
    <row r="45" spans="1:10" s="36" customFormat="1" ht="18" customHeight="1" x14ac:dyDescent="0.25">
      <c r="A45" s="17" t="s">
        <v>159</v>
      </c>
      <c r="B45" s="120">
        <v>12</v>
      </c>
      <c r="C45" s="132" t="s">
        <v>118</v>
      </c>
      <c r="D45" s="13" t="s">
        <v>90</v>
      </c>
      <c r="E45" s="14">
        <v>5</v>
      </c>
      <c r="F45" s="15">
        <v>12.5</v>
      </c>
      <c r="G45" s="15">
        <f t="shared" ref="G45:G54" si="9">F45*(1+$H$5)</f>
        <v>15.942476709801824</v>
      </c>
      <c r="H45" s="19">
        <f t="shared" ref="H45:H54" si="10">E45*G45</f>
        <v>79.712383549009118</v>
      </c>
      <c r="J45" s="37"/>
    </row>
    <row r="46" spans="1:10" s="36" customFormat="1" ht="18" customHeight="1" x14ac:dyDescent="0.25">
      <c r="A46" s="17" t="s">
        <v>344</v>
      </c>
      <c r="B46" s="120">
        <v>3767</v>
      </c>
      <c r="C46" s="132" t="s">
        <v>119</v>
      </c>
      <c r="D46" s="13" t="s">
        <v>90</v>
      </c>
      <c r="E46" s="14">
        <v>10</v>
      </c>
      <c r="F46" s="15">
        <v>1.67</v>
      </c>
      <c r="G46" s="15">
        <f t="shared" si="9"/>
        <v>2.1299148884295236</v>
      </c>
      <c r="H46" s="19">
        <f t="shared" si="10"/>
        <v>21.299148884295235</v>
      </c>
      <c r="J46" s="37"/>
    </row>
    <row r="47" spans="1:10" s="36" customFormat="1" ht="27.6" x14ac:dyDescent="0.3">
      <c r="A47" s="17" t="s">
        <v>160</v>
      </c>
      <c r="B47" s="43">
        <v>20193</v>
      </c>
      <c r="C47" s="18" t="s">
        <v>170</v>
      </c>
      <c r="D47" s="13" t="s">
        <v>169</v>
      </c>
      <c r="E47" s="14">
        <f>E48</f>
        <v>8</v>
      </c>
      <c r="F47" s="25">
        <v>6.66</v>
      </c>
      <c r="G47" s="15">
        <f t="shared" ref="G47" si="11">F47*(1+$H$5)</f>
        <v>8.4941515909824119</v>
      </c>
      <c r="H47" s="19">
        <f t="shared" ref="H47" si="12">E47*G47</f>
        <v>67.953212727859295</v>
      </c>
      <c r="J47" s="37"/>
    </row>
    <row r="48" spans="1:10" s="36" customFormat="1" ht="27.6" x14ac:dyDescent="0.3">
      <c r="A48" s="17" t="s">
        <v>161</v>
      </c>
      <c r="B48" s="13">
        <v>97063</v>
      </c>
      <c r="C48" s="115" t="s">
        <v>42</v>
      </c>
      <c r="D48" s="13" t="s">
        <v>92</v>
      </c>
      <c r="E48" s="14">
        <v>8</v>
      </c>
      <c r="F48" s="25">
        <v>12.1</v>
      </c>
      <c r="G48" s="15">
        <f t="shared" si="9"/>
        <v>15.432317455088164</v>
      </c>
      <c r="H48" s="19">
        <f t="shared" si="10"/>
        <v>123.45853964070531</v>
      </c>
      <c r="J48" s="37"/>
    </row>
    <row r="49" spans="1:10" s="36" customFormat="1" ht="15" x14ac:dyDescent="0.3">
      <c r="A49" s="17" t="s">
        <v>162</v>
      </c>
      <c r="B49" s="13">
        <v>97622</v>
      </c>
      <c r="C49" s="18" t="s">
        <v>32</v>
      </c>
      <c r="D49" s="13" t="s">
        <v>93</v>
      </c>
      <c r="E49" s="14">
        <f>9.86*0.3</f>
        <v>2.9579999999999997</v>
      </c>
      <c r="F49" s="15">
        <v>62.09</v>
      </c>
      <c r="G49" s="15">
        <f t="shared" si="9"/>
        <v>79.189470312927625</v>
      </c>
      <c r="H49" s="19">
        <f t="shared" si="10"/>
        <v>234.2424531856399</v>
      </c>
      <c r="J49" s="37"/>
    </row>
    <row r="50" spans="1:10" s="36" customFormat="1" ht="27.6" x14ac:dyDescent="0.3">
      <c r="A50" s="17" t="s">
        <v>163</v>
      </c>
      <c r="B50" s="13">
        <v>87530</v>
      </c>
      <c r="C50" s="18" t="s">
        <v>33</v>
      </c>
      <c r="D50" s="13" t="s">
        <v>92</v>
      </c>
      <c r="E50" s="14">
        <f>9.86*0.3</f>
        <v>2.9579999999999997</v>
      </c>
      <c r="F50" s="15">
        <v>41.03</v>
      </c>
      <c r="G50" s="15">
        <f t="shared" si="9"/>
        <v>52.329585552253505</v>
      </c>
      <c r="H50" s="19">
        <f t="shared" si="10"/>
        <v>154.79091406356585</v>
      </c>
      <c r="J50" s="37"/>
    </row>
    <row r="51" spans="1:10" x14ac:dyDescent="0.3">
      <c r="A51" s="17" t="s">
        <v>212</v>
      </c>
      <c r="B51" s="13">
        <v>142</v>
      </c>
      <c r="C51" s="115" t="s">
        <v>195</v>
      </c>
      <c r="D51" s="13" t="s">
        <v>196</v>
      </c>
      <c r="E51" s="14">
        <v>10</v>
      </c>
      <c r="F51" s="25">
        <v>30.88</v>
      </c>
      <c r="G51" s="15">
        <f t="shared" si="9"/>
        <v>39.38429446389442</v>
      </c>
      <c r="H51" s="19">
        <f t="shared" si="10"/>
        <v>393.84294463894423</v>
      </c>
    </row>
    <row r="52" spans="1:10" x14ac:dyDescent="0.3">
      <c r="A52" s="17" t="s">
        <v>213</v>
      </c>
      <c r="B52" s="13">
        <v>88310</v>
      </c>
      <c r="C52" s="115" t="s">
        <v>263</v>
      </c>
      <c r="D52" s="13" t="s">
        <v>89</v>
      </c>
      <c r="E52" s="14">
        <f>8.8*3</f>
        <v>26.400000000000002</v>
      </c>
      <c r="F52" s="25">
        <v>32.01</v>
      </c>
      <c r="G52" s="15">
        <f t="shared" si="9"/>
        <v>40.825494358460503</v>
      </c>
      <c r="H52" s="19">
        <f t="shared" si="10"/>
        <v>1077.7930510633573</v>
      </c>
    </row>
    <row r="53" spans="1:10" x14ac:dyDescent="0.3">
      <c r="A53" s="17" t="s">
        <v>214</v>
      </c>
      <c r="B53" s="13">
        <v>88323</v>
      </c>
      <c r="C53" s="18" t="s">
        <v>36</v>
      </c>
      <c r="D53" s="13" t="s">
        <v>89</v>
      </c>
      <c r="E53" s="14">
        <f>8.8*3</f>
        <v>26.400000000000002</v>
      </c>
      <c r="F53" s="15">
        <v>30.38</v>
      </c>
      <c r="G53" s="15">
        <f t="shared" si="9"/>
        <v>38.746595395502347</v>
      </c>
      <c r="H53" s="19">
        <f t="shared" si="10"/>
        <v>1022.9101184412621</v>
      </c>
    </row>
    <row r="54" spans="1:10" x14ac:dyDescent="0.3">
      <c r="A54" s="17" t="s">
        <v>215</v>
      </c>
      <c r="B54" s="13">
        <v>88316</v>
      </c>
      <c r="C54" s="18" t="s">
        <v>35</v>
      </c>
      <c r="D54" s="13" t="s">
        <v>89</v>
      </c>
      <c r="E54" s="14">
        <f>3*8.8</f>
        <v>26.400000000000002</v>
      </c>
      <c r="F54" s="15">
        <v>23.71</v>
      </c>
      <c r="G54" s="25">
        <f t="shared" si="9"/>
        <v>30.239689823152098</v>
      </c>
      <c r="H54" s="26">
        <f t="shared" si="10"/>
        <v>798.32781133121546</v>
      </c>
    </row>
    <row r="55" spans="1:10" ht="16.2" thickBot="1" x14ac:dyDescent="0.35">
      <c r="A55" s="171" t="s">
        <v>79</v>
      </c>
      <c r="B55" s="172"/>
      <c r="C55" s="172"/>
      <c r="D55" s="172"/>
      <c r="E55" s="172"/>
      <c r="F55" s="172"/>
      <c r="G55" s="172"/>
      <c r="H55" s="35">
        <f>SUM(H44:H54)</f>
        <v>4375.3463612860724</v>
      </c>
    </row>
    <row r="56" spans="1:10" ht="14.4" thickBot="1" x14ac:dyDescent="0.35">
      <c r="A56" s="159" t="s">
        <v>135</v>
      </c>
      <c r="B56" s="160"/>
      <c r="C56" s="160"/>
      <c r="D56" s="160"/>
      <c r="E56" s="160"/>
      <c r="F56" s="160"/>
      <c r="G56" s="160"/>
      <c r="H56" s="161"/>
    </row>
    <row r="57" spans="1:10" x14ac:dyDescent="0.3">
      <c r="A57" s="162" t="s">
        <v>8</v>
      </c>
      <c r="B57" s="164" t="s">
        <v>55</v>
      </c>
      <c r="C57" s="164" t="s">
        <v>71</v>
      </c>
      <c r="D57" s="164" t="s">
        <v>73</v>
      </c>
      <c r="E57" s="164" t="s">
        <v>74</v>
      </c>
      <c r="F57" s="164" t="s">
        <v>72</v>
      </c>
      <c r="G57" s="164" t="s">
        <v>75</v>
      </c>
      <c r="H57" s="166"/>
    </row>
    <row r="58" spans="1:10" x14ac:dyDescent="0.3">
      <c r="A58" s="163"/>
      <c r="B58" s="165"/>
      <c r="C58" s="165"/>
      <c r="D58" s="165"/>
      <c r="E58" s="165"/>
      <c r="F58" s="165"/>
      <c r="G58" s="116" t="s">
        <v>53</v>
      </c>
      <c r="H58" s="119" t="s">
        <v>76</v>
      </c>
    </row>
    <row r="59" spans="1:10" ht="27.6" x14ac:dyDescent="0.3">
      <c r="A59" s="17" t="s">
        <v>21</v>
      </c>
      <c r="B59" s="13">
        <v>43083</v>
      </c>
      <c r="C59" s="115" t="s">
        <v>187</v>
      </c>
      <c r="D59" s="13" t="s">
        <v>186</v>
      </c>
      <c r="E59" s="14">
        <f>261.95+249.39</f>
        <v>511.34</v>
      </c>
      <c r="F59" s="125">
        <v>12.99</v>
      </c>
      <c r="G59" s="125">
        <f>F59*(1+$H$5)</f>
        <v>16.567421796826054</v>
      </c>
      <c r="H59" s="126">
        <f>E59*G59</f>
        <v>8471.585461589033</v>
      </c>
    </row>
    <row r="60" spans="1:10" x14ac:dyDescent="0.3">
      <c r="A60" s="17" t="s">
        <v>22</v>
      </c>
      <c r="B60" s="13">
        <v>11002</v>
      </c>
      <c r="C60" s="115" t="s">
        <v>188</v>
      </c>
      <c r="D60" s="13" t="s">
        <v>186</v>
      </c>
      <c r="E60" s="14">
        <f>E59*0.015</f>
        <v>7.6700999999999997</v>
      </c>
      <c r="F60" s="125">
        <v>42.65</v>
      </c>
      <c r="G60" s="125">
        <f t="shared" ref="G60:G66" si="13">F60*(1+$H$5)</f>
        <v>54.395730533843818</v>
      </c>
      <c r="H60" s="126">
        <f t="shared" ref="H60:H62" si="14">E60*G60</f>
        <v>417.22069276763546</v>
      </c>
    </row>
    <row r="61" spans="1:10" x14ac:dyDescent="0.25">
      <c r="A61" s="17" t="s">
        <v>23</v>
      </c>
      <c r="B61" s="124">
        <v>88240</v>
      </c>
      <c r="C61" s="130" t="s">
        <v>189</v>
      </c>
      <c r="D61" s="13" t="s">
        <v>89</v>
      </c>
      <c r="E61" s="124">
        <f>9*8.8</f>
        <v>79.2</v>
      </c>
      <c r="F61" s="125">
        <v>21.59</v>
      </c>
      <c r="G61" s="125">
        <f t="shared" si="13"/>
        <v>27.535845773169708</v>
      </c>
      <c r="H61" s="126">
        <f t="shared" si="14"/>
        <v>2180.838985235041</v>
      </c>
    </row>
    <row r="62" spans="1:10" x14ac:dyDescent="0.25">
      <c r="A62" s="17" t="s">
        <v>24</v>
      </c>
      <c r="B62" s="124">
        <v>88278</v>
      </c>
      <c r="C62" s="130" t="s">
        <v>190</v>
      </c>
      <c r="D62" s="13" t="s">
        <v>89</v>
      </c>
      <c r="E62" s="124">
        <f>2*5*8.8+0.5*2*8.8</f>
        <v>96.8</v>
      </c>
      <c r="F62" s="125">
        <v>28.12</v>
      </c>
      <c r="G62" s="125">
        <f t="shared" si="13"/>
        <v>35.864195606370181</v>
      </c>
      <c r="H62" s="126">
        <f t="shared" si="14"/>
        <v>3471.6541346966333</v>
      </c>
    </row>
    <row r="63" spans="1:10" ht="25.05" customHeight="1" x14ac:dyDescent="0.3">
      <c r="A63" s="17" t="s">
        <v>25</v>
      </c>
      <c r="B63" s="129">
        <v>88317</v>
      </c>
      <c r="C63" s="131" t="s">
        <v>191</v>
      </c>
      <c r="D63" s="13" t="s">
        <v>89</v>
      </c>
      <c r="E63" s="129">
        <f>3*8.8</f>
        <v>26.400000000000002</v>
      </c>
      <c r="F63" s="125">
        <v>32.29</v>
      </c>
      <c r="G63" s="125">
        <f t="shared" si="13"/>
        <v>41.182605836760068</v>
      </c>
      <c r="H63" s="126">
        <f t="shared" ref="H63:H66" si="15">E63*G63</f>
        <v>1087.2207940904659</v>
      </c>
    </row>
    <row r="64" spans="1:10" x14ac:dyDescent="0.3">
      <c r="A64" s="17" t="s">
        <v>164</v>
      </c>
      <c r="B64" s="13">
        <v>88310</v>
      </c>
      <c r="C64" s="115" t="s">
        <v>263</v>
      </c>
      <c r="D64" s="13" t="s">
        <v>89</v>
      </c>
      <c r="E64" s="14">
        <f>2*8.8</f>
        <v>17.600000000000001</v>
      </c>
      <c r="F64" s="25">
        <v>32.01</v>
      </c>
      <c r="G64" s="15">
        <f t="shared" si="13"/>
        <v>40.825494358460503</v>
      </c>
      <c r="H64" s="19">
        <f t="shared" si="15"/>
        <v>718.52870070890492</v>
      </c>
    </row>
    <row r="65" spans="1:13" x14ac:dyDescent="0.3">
      <c r="A65" s="17" t="s">
        <v>26</v>
      </c>
      <c r="B65" s="13">
        <v>1332</v>
      </c>
      <c r="C65" s="115" t="s">
        <v>193</v>
      </c>
      <c r="D65" s="13" t="s">
        <v>186</v>
      </c>
      <c r="E65" s="14">
        <f>(2*0.2*0.7+8*0.35*0.2)*74.69+32+15.32</f>
        <v>110.05959999999999</v>
      </c>
      <c r="F65" s="125">
        <v>12.49</v>
      </c>
      <c r="G65" s="125">
        <f t="shared" si="13"/>
        <v>15.929722728433982</v>
      </c>
      <c r="H65" s="126">
        <f t="shared" si="15"/>
        <v>1753.2189116023524</v>
      </c>
    </row>
    <row r="66" spans="1:13" x14ac:dyDescent="0.3">
      <c r="A66" s="17" t="s">
        <v>27</v>
      </c>
      <c r="B66" s="13">
        <v>100716</v>
      </c>
      <c r="C66" s="115" t="s">
        <v>192</v>
      </c>
      <c r="D66" s="13" t="s">
        <v>92</v>
      </c>
      <c r="E66" s="14">
        <f>E67</f>
        <v>87.896999999999991</v>
      </c>
      <c r="F66" s="125">
        <v>28.87</v>
      </c>
      <c r="G66" s="125">
        <f t="shared" si="13"/>
        <v>36.820744208958288</v>
      </c>
      <c r="H66" s="126">
        <f t="shared" si="15"/>
        <v>3236.4329537348062</v>
      </c>
    </row>
    <row r="67" spans="1:13" ht="43.2" customHeight="1" x14ac:dyDescent="0.3">
      <c r="A67" s="17" t="s">
        <v>28</v>
      </c>
      <c r="B67" s="13">
        <v>100747</v>
      </c>
      <c r="C67" s="115" t="s">
        <v>185</v>
      </c>
      <c r="D67" s="13" t="s">
        <v>92</v>
      </c>
      <c r="E67" s="14">
        <f>((24.03*(0.2*2+0.075*4+0.025*4))+(16.25*(0.15*2+0.06*4+0.02*4)))*3</f>
        <v>87.896999999999991</v>
      </c>
      <c r="F67" s="125">
        <v>10.199999999999999</v>
      </c>
      <c r="G67" s="125">
        <f>F67*(1+$H$5)</f>
        <v>13.009060995198286</v>
      </c>
      <c r="H67" s="126">
        <f>E67*G67</f>
        <v>1143.4574342949436</v>
      </c>
    </row>
    <row r="68" spans="1:13" ht="27.6" x14ac:dyDescent="0.3">
      <c r="A68" s="17" t="s">
        <v>29</v>
      </c>
      <c r="B68" s="13">
        <v>94216</v>
      </c>
      <c r="C68" s="115" t="s">
        <v>194</v>
      </c>
      <c r="D68" s="13" t="s">
        <v>92</v>
      </c>
      <c r="E68" s="14">
        <v>29.87</v>
      </c>
      <c r="F68" s="125">
        <v>262.91000000000003</v>
      </c>
      <c r="G68" s="125">
        <f t="shared" ref="G68:G76" si="16">F68*(1+$H$5)</f>
        <v>335.31492414191979</v>
      </c>
      <c r="H68" s="126">
        <f t="shared" ref="H68:H76" si="17">E68*G68</f>
        <v>10015.856784119145</v>
      </c>
    </row>
    <row r="69" spans="1:13" ht="27.6" x14ac:dyDescent="0.3">
      <c r="A69" s="17" t="s">
        <v>30</v>
      </c>
      <c r="B69" s="13">
        <v>100327</v>
      </c>
      <c r="C69" s="115" t="s">
        <v>37</v>
      </c>
      <c r="D69" s="13" t="s">
        <v>91</v>
      </c>
      <c r="E69" s="14">
        <f>9.58+14.87+29.72</f>
        <v>54.17</v>
      </c>
      <c r="F69" s="125">
        <v>70.05</v>
      </c>
      <c r="G69" s="125">
        <f t="shared" si="16"/>
        <v>89.341639481729416</v>
      </c>
      <c r="H69" s="126">
        <f t="shared" si="17"/>
        <v>4839.6366107252825</v>
      </c>
    </row>
    <row r="70" spans="1:13" ht="27.6" x14ac:dyDescent="0.3">
      <c r="A70" s="17" t="s">
        <v>216</v>
      </c>
      <c r="B70" s="13">
        <v>94228</v>
      </c>
      <c r="C70" s="115" t="s">
        <v>38</v>
      </c>
      <c r="D70" s="13" t="s">
        <v>91</v>
      </c>
      <c r="E70" s="14">
        <v>3.5</v>
      </c>
      <c r="F70" s="125">
        <v>106.94</v>
      </c>
      <c r="G70" s="125">
        <f t="shared" si="16"/>
        <v>136.39107674769656</v>
      </c>
      <c r="H70" s="126">
        <f t="shared" si="17"/>
        <v>477.36876861693793</v>
      </c>
    </row>
    <row r="71" spans="1:13" x14ac:dyDescent="0.3">
      <c r="A71" s="17" t="s">
        <v>31</v>
      </c>
      <c r="B71" s="13" t="s">
        <v>300</v>
      </c>
      <c r="C71" s="115" t="s">
        <v>385</v>
      </c>
      <c r="D71" s="13" t="s">
        <v>90</v>
      </c>
      <c r="E71" s="14">
        <v>2</v>
      </c>
      <c r="F71" s="125">
        <v>310</v>
      </c>
      <c r="G71" s="125">
        <f t="shared" si="16"/>
        <v>395.37342240308521</v>
      </c>
      <c r="H71" s="126">
        <f t="shared" si="17"/>
        <v>790.74684480617043</v>
      </c>
      <c r="J71" s="121"/>
      <c r="K71" s="121"/>
      <c r="L71" s="121"/>
      <c r="M71" s="121"/>
    </row>
    <row r="72" spans="1:13" s="121" customFormat="1" ht="27.6" customHeight="1" x14ac:dyDescent="0.3">
      <c r="A72" s="17" t="s">
        <v>217</v>
      </c>
      <c r="B72" s="13">
        <v>87530</v>
      </c>
      <c r="C72" s="115" t="s">
        <v>33</v>
      </c>
      <c r="D72" s="13" t="s">
        <v>92</v>
      </c>
      <c r="E72" s="14">
        <f>9.86*0.3</f>
        <v>2.9579999999999997</v>
      </c>
      <c r="F72" s="15">
        <v>41.03</v>
      </c>
      <c r="G72" s="15">
        <f t="shared" ref="G72:G75" si="18">F72*(1+$H$5)</f>
        <v>52.329585552253505</v>
      </c>
      <c r="H72" s="19">
        <f t="shared" ref="H72:H75" si="19">E72*G72</f>
        <v>154.79091406356585</v>
      </c>
      <c r="J72" s="16"/>
      <c r="K72" s="16"/>
      <c r="L72" s="16"/>
      <c r="M72" s="16"/>
    </row>
    <row r="73" spans="1:13" s="121" customFormat="1" ht="27.6" x14ac:dyDescent="0.3">
      <c r="A73" s="17" t="s">
        <v>218</v>
      </c>
      <c r="B73" s="13">
        <v>88414</v>
      </c>
      <c r="C73" s="115" t="s">
        <v>178</v>
      </c>
      <c r="D73" s="13" t="s">
        <v>92</v>
      </c>
      <c r="E73" s="14">
        <f>E74</f>
        <v>1.6</v>
      </c>
      <c r="F73" s="15">
        <v>5.65</v>
      </c>
      <c r="G73" s="25">
        <f t="shared" si="18"/>
        <v>7.205999472830424</v>
      </c>
      <c r="H73" s="26">
        <f t="shared" si="19"/>
        <v>11.529599156528679</v>
      </c>
    </row>
    <row r="74" spans="1:13" ht="27.6" x14ac:dyDescent="0.3">
      <c r="A74" s="17" t="s">
        <v>219</v>
      </c>
      <c r="B74" s="13">
        <v>88421</v>
      </c>
      <c r="C74" s="115" t="s">
        <v>177</v>
      </c>
      <c r="D74" s="13" t="s">
        <v>92</v>
      </c>
      <c r="E74" s="14">
        <f>8*0.2</f>
        <v>1.6</v>
      </c>
      <c r="F74" s="25">
        <v>25.88</v>
      </c>
      <c r="G74" s="25">
        <f t="shared" si="18"/>
        <v>33.007303779973689</v>
      </c>
      <c r="H74" s="26">
        <f t="shared" si="19"/>
        <v>52.811686047957906</v>
      </c>
      <c r="J74" s="121"/>
      <c r="K74" s="121"/>
      <c r="L74" s="121"/>
      <c r="M74" s="121"/>
    </row>
    <row r="75" spans="1:13" ht="27.6" x14ac:dyDescent="0.3">
      <c r="A75" s="17" t="s">
        <v>220</v>
      </c>
      <c r="B75" s="43">
        <v>20193</v>
      </c>
      <c r="C75" s="115" t="s">
        <v>170</v>
      </c>
      <c r="D75" s="13" t="s">
        <v>169</v>
      </c>
      <c r="E75" s="14">
        <v>8</v>
      </c>
      <c r="F75" s="25">
        <v>6.66</v>
      </c>
      <c r="G75" s="15">
        <f t="shared" si="18"/>
        <v>8.4941515909824119</v>
      </c>
      <c r="H75" s="19">
        <f t="shared" si="19"/>
        <v>67.953212727859295</v>
      </c>
    </row>
    <row r="76" spans="1:13" ht="27.6" x14ac:dyDescent="0.3">
      <c r="A76" s="17" t="s">
        <v>221</v>
      </c>
      <c r="B76" s="13">
        <v>97063</v>
      </c>
      <c r="C76" s="115" t="s">
        <v>42</v>
      </c>
      <c r="D76" s="13" t="s">
        <v>92</v>
      </c>
      <c r="E76" s="14">
        <v>8</v>
      </c>
      <c r="F76" s="127">
        <v>12.1</v>
      </c>
      <c r="G76" s="125">
        <f t="shared" si="16"/>
        <v>15.432317455088164</v>
      </c>
      <c r="H76" s="126">
        <f t="shared" si="17"/>
        <v>123.45853964070531</v>
      </c>
    </row>
    <row r="77" spans="1:13" x14ac:dyDescent="0.3">
      <c r="A77" s="17" t="s">
        <v>222</v>
      </c>
      <c r="B77" s="13">
        <v>88316</v>
      </c>
      <c r="C77" s="115" t="s">
        <v>35</v>
      </c>
      <c r="D77" s="13" t="s">
        <v>89</v>
      </c>
      <c r="E77" s="14">
        <v>4</v>
      </c>
      <c r="F77" s="125">
        <v>23.71</v>
      </c>
      <c r="G77" s="127">
        <f t="shared" ref="G77" si="20">F77*(1+$H$5)</f>
        <v>30.239689823152098</v>
      </c>
      <c r="H77" s="128">
        <f t="shared" ref="H77" si="21">E77*G77</f>
        <v>120.95875929260839</v>
      </c>
    </row>
    <row r="78" spans="1:13" ht="16.2" thickBot="1" x14ac:dyDescent="0.35">
      <c r="A78" s="171" t="s">
        <v>79</v>
      </c>
      <c r="B78" s="172"/>
      <c r="C78" s="172"/>
      <c r="D78" s="172"/>
      <c r="E78" s="172"/>
      <c r="F78" s="172"/>
      <c r="G78" s="172"/>
      <c r="H78" s="35">
        <f>SUM(H59:H77)</f>
        <v>39135.269787916579</v>
      </c>
    </row>
    <row r="79" spans="1:13" ht="14.4" thickBot="1" x14ac:dyDescent="0.35">
      <c r="A79" s="159" t="s">
        <v>153</v>
      </c>
      <c r="B79" s="160"/>
      <c r="C79" s="160"/>
      <c r="D79" s="160"/>
      <c r="E79" s="160"/>
      <c r="F79" s="160"/>
      <c r="G79" s="160"/>
      <c r="H79" s="161"/>
    </row>
    <row r="80" spans="1:13" x14ac:dyDescent="0.3">
      <c r="A80" s="162" t="s">
        <v>8</v>
      </c>
      <c r="B80" s="164" t="s">
        <v>55</v>
      </c>
      <c r="C80" s="164" t="s">
        <v>71</v>
      </c>
      <c r="D80" s="164" t="s">
        <v>73</v>
      </c>
      <c r="E80" s="164" t="s">
        <v>74</v>
      </c>
      <c r="F80" s="164" t="s">
        <v>72</v>
      </c>
      <c r="G80" s="164" t="s">
        <v>75</v>
      </c>
      <c r="H80" s="166"/>
    </row>
    <row r="81" spans="1:9" x14ac:dyDescent="0.3">
      <c r="A81" s="163"/>
      <c r="B81" s="165"/>
      <c r="C81" s="165"/>
      <c r="D81" s="165"/>
      <c r="E81" s="165"/>
      <c r="F81" s="165"/>
      <c r="G81" s="116" t="s">
        <v>53</v>
      </c>
      <c r="H81" s="119" t="s">
        <v>76</v>
      </c>
    </row>
    <row r="82" spans="1:9" x14ac:dyDescent="0.3">
      <c r="A82" s="17" t="s">
        <v>223</v>
      </c>
      <c r="B82" s="13">
        <v>2674</v>
      </c>
      <c r="C82" s="18" t="s">
        <v>43</v>
      </c>
      <c r="D82" s="13" t="s">
        <v>91</v>
      </c>
      <c r="E82" s="14">
        <v>35</v>
      </c>
      <c r="F82" s="15">
        <v>5.9</v>
      </c>
      <c r="G82" s="15">
        <f>F82*(1+$H$5)</f>
        <v>7.5248490070264609</v>
      </c>
      <c r="H82" s="19">
        <f>E82*G82</f>
        <v>263.36971524592616</v>
      </c>
    </row>
    <row r="83" spans="1:9" x14ac:dyDescent="0.3">
      <c r="A83" s="17" t="s">
        <v>224</v>
      </c>
      <c r="B83" s="13">
        <v>1891</v>
      </c>
      <c r="C83" s="18" t="s">
        <v>44</v>
      </c>
      <c r="D83" s="13" t="s">
        <v>90</v>
      </c>
      <c r="E83" s="14">
        <v>12</v>
      </c>
      <c r="F83" s="15">
        <v>1.74</v>
      </c>
      <c r="G83" s="15">
        <f t="shared" ref="G83:G96" si="22">F83*(1+$H$5)</f>
        <v>2.2191927580044135</v>
      </c>
      <c r="H83" s="19">
        <f t="shared" ref="H83:H96" si="23">E83*G83</f>
        <v>26.630313096052962</v>
      </c>
    </row>
    <row r="84" spans="1:9" x14ac:dyDescent="0.3">
      <c r="A84" s="17" t="s">
        <v>225</v>
      </c>
      <c r="B84" s="13">
        <v>39272</v>
      </c>
      <c r="C84" s="18" t="s">
        <v>264</v>
      </c>
      <c r="D84" s="13" t="s">
        <v>199</v>
      </c>
      <c r="E84" s="14">
        <v>6</v>
      </c>
      <c r="F84" s="15">
        <v>3.75</v>
      </c>
      <c r="G84" s="15">
        <f t="shared" si="22"/>
        <v>4.7827430129405464</v>
      </c>
      <c r="H84" s="19">
        <f t="shared" si="23"/>
        <v>28.696458077643278</v>
      </c>
    </row>
    <row r="85" spans="1:9" x14ac:dyDescent="0.3">
      <c r="A85" s="17" t="s">
        <v>226</v>
      </c>
      <c r="B85" s="13">
        <v>2559</v>
      </c>
      <c r="C85" s="18" t="s">
        <v>45</v>
      </c>
      <c r="D85" s="13" t="s">
        <v>90</v>
      </c>
      <c r="E85" s="14">
        <v>4</v>
      </c>
      <c r="F85" s="15">
        <v>13.79</v>
      </c>
      <c r="G85" s="15">
        <f t="shared" si="22"/>
        <v>17.587740306253369</v>
      </c>
      <c r="H85" s="19">
        <f t="shared" si="23"/>
        <v>70.350961225013478</v>
      </c>
    </row>
    <row r="86" spans="1:9" x14ac:dyDescent="0.3">
      <c r="A86" s="17" t="s">
        <v>227</v>
      </c>
      <c r="B86" s="13">
        <v>2565</v>
      </c>
      <c r="C86" s="18" t="s">
        <v>46</v>
      </c>
      <c r="D86" s="13" t="s">
        <v>90</v>
      </c>
      <c r="E86" s="14">
        <v>2</v>
      </c>
      <c r="F86" s="15">
        <v>11.17</v>
      </c>
      <c r="G86" s="15">
        <f t="shared" si="22"/>
        <v>14.246197187878909</v>
      </c>
      <c r="H86" s="19">
        <f t="shared" si="23"/>
        <v>28.492394375757819</v>
      </c>
    </row>
    <row r="87" spans="1:9" x14ac:dyDescent="0.3">
      <c r="A87" s="17" t="s">
        <v>228</v>
      </c>
      <c r="B87" s="13">
        <v>39128</v>
      </c>
      <c r="C87" s="18" t="s">
        <v>47</v>
      </c>
      <c r="D87" s="13" t="s">
        <v>90</v>
      </c>
      <c r="E87" s="14">
        <v>35</v>
      </c>
      <c r="F87" s="15">
        <v>1.9</v>
      </c>
      <c r="G87" s="15">
        <f t="shared" si="22"/>
        <v>2.4232564598898771</v>
      </c>
      <c r="H87" s="19">
        <f t="shared" si="23"/>
        <v>84.813976096145694</v>
      </c>
      <c r="I87" s="145"/>
    </row>
    <row r="88" spans="1:9" ht="27.6" x14ac:dyDescent="0.3">
      <c r="A88" s="17" t="s">
        <v>229</v>
      </c>
      <c r="B88" s="13">
        <v>1014</v>
      </c>
      <c r="C88" s="18" t="s">
        <v>48</v>
      </c>
      <c r="D88" s="13" t="s">
        <v>91</v>
      </c>
      <c r="E88" s="14">
        <f>55*4</f>
        <v>220</v>
      </c>
      <c r="F88" s="15">
        <v>2.16</v>
      </c>
      <c r="G88" s="15">
        <f t="shared" si="22"/>
        <v>2.7548599754537553</v>
      </c>
      <c r="H88" s="19">
        <f t="shared" si="23"/>
        <v>606.06919459982612</v>
      </c>
    </row>
    <row r="89" spans="1:9" ht="27.6" x14ac:dyDescent="0.3">
      <c r="A89" s="17" t="s">
        <v>230</v>
      </c>
      <c r="B89" s="13">
        <v>38069</v>
      </c>
      <c r="C89" s="18" t="s">
        <v>267</v>
      </c>
      <c r="D89" s="13" t="s">
        <v>90</v>
      </c>
      <c r="E89" s="14">
        <v>2</v>
      </c>
      <c r="F89" s="15">
        <v>18.75</v>
      </c>
      <c r="G89" s="15">
        <f t="shared" ref="G89" si="24">F89*(1+$H$5)</f>
        <v>23.913715064702735</v>
      </c>
      <c r="H89" s="19">
        <f t="shared" ref="H89" si="25">E89*G89</f>
        <v>47.827430129405471</v>
      </c>
    </row>
    <row r="90" spans="1:9" x14ac:dyDescent="0.3">
      <c r="A90" s="17" t="s">
        <v>231</v>
      </c>
      <c r="B90" s="13">
        <v>34653</v>
      </c>
      <c r="C90" s="18" t="s">
        <v>49</v>
      </c>
      <c r="D90" s="13" t="s">
        <v>90</v>
      </c>
      <c r="E90" s="14">
        <v>1</v>
      </c>
      <c r="F90" s="15">
        <v>10.98</v>
      </c>
      <c r="G90" s="15">
        <f t="shared" si="22"/>
        <v>14.003871541889922</v>
      </c>
      <c r="H90" s="19">
        <f t="shared" si="23"/>
        <v>14.003871541889922</v>
      </c>
    </row>
    <row r="91" spans="1:9" x14ac:dyDescent="0.3">
      <c r="A91" s="17" t="s">
        <v>265</v>
      </c>
      <c r="B91" s="13">
        <v>88264</v>
      </c>
      <c r="C91" s="18" t="s">
        <v>50</v>
      </c>
      <c r="D91" s="13" t="s">
        <v>89</v>
      </c>
      <c r="E91" s="14">
        <f>8.8*2</f>
        <v>17.600000000000001</v>
      </c>
      <c r="F91" s="15">
        <v>31.32</v>
      </c>
      <c r="G91" s="15">
        <f t="shared" si="22"/>
        <v>39.945469644079445</v>
      </c>
      <c r="H91" s="19">
        <f t="shared" si="23"/>
        <v>703.04026573579824</v>
      </c>
    </row>
    <row r="92" spans="1:9" x14ac:dyDescent="0.25">
      <c r="A92" s="17" t="s">
        <v>266</v>
      </c>
      <c r="B92" s="136">
        <v>88247</v>
      </c>
      <c r="C92" s="137" t="s">
        <v>253</v>
      </c>
      <c r="D92" s="136" t="s">
        <v>89</v>
      </c>
      <c r="E92" s="14">
        <f>8.8*2</f>
        <v>17.600000000000001</v>
      </c>
      <c r="F92" s="15">
        <v>25.53</v>
      </c>
      <c r="G92" s="15">
        <f t="shared" si="22"/>
        <v>32.560914432099246</v>
      </c>
      <c r="H92" s="19">
        <f t="shared" si="23"/>
        <v>573.07209400494673</v>
      </c>
    </row>
    <row r="93" spans="1:9" x14ac:dyDescent="0.25">
      <c r="A93" s="17" t="s">
        <v>354</v>
      </c>
      <c r="B93" s="120">
        <v>39390</v>
      </c>
      <c r="C93" s="117" t="s">
        <v>268</v>
      </c>
      <c r="D93" s="13" t="s">
        <v>90</v>
      </c>
      <c r="E93" s="14">
        <v>9</v>
      </c>
      <c r="F93" s="15">
        <v>43.37</v>
      </c>
      <c r="G93" s="15">
        <f t="shared" si="22"/>
        <v>55.3140171923284</v>
      </c>
      <c r="H93" s="19">
        <f t="shared" si="23"/>
        <v>497.82615473095558</v>
      </c>
    </row>
    <row r="94" spans="1:9" x14ac:dyDescent="0.25">
      <c r="A94" s="17" t="s">
        <v>355</v>
      </c>
      <c r="B94" s="120" t="s">
        <v>325</v>
      </c>
      <c r="C94" s="117" t="s">
        <v>286</v>
      </c>
      <c r="D94" s="13" t="s">
        <v>90</v>
      </c>
      <c r="E94" s="14">
        <v>4</v>
      </c>
      <c r="F94" s="15">
        <v>2.2400000000000002</v>
      </c>
      <c r="G94" s="15">
        <f t="shared" si="22"/>
        <v>2.8568918263964869</v>
      </c>
      <c r="H94" s="19">
        <f t="shared" si="23"/>
        <v>11.427567305585947</v>
      </c>
    </row>
    <row r="95" spans="1:9" x14ac:dyDescent="0.25">
      <c r="A95" s="17" t="s">
        <v>269</v>
      </c>
      <c r="B95" s="120" t="s">
        <v>324</v>
      </c>
      <c r="C95" s="117" t="s">
        <v>309</v>
      </c>
      <c r="D95" s="13" t="s">
        <v>90</v>
      </c>
      <c r="E95" s="14">
        <v>4</v>
      </c>
      <c r="F95" s="15">
        <v>30.07</v>
      </c>
      <c r="G95" s="15">
        <f t="shared" si="22"/>
        <v>38.351221973099264</v>
      </c>
      <c r="H95" s="19">
        <f t="shared" si="23"/>
        <v>153.40488789239706</v>
      </c>
    </row>
    <row r="96" spans="1:9" x14ac:dyDescent="0.3">
      <c r="A96" s="17" t="s">
        <v>270</v>
      </c>
      <c r="B96" s="13">
        <v>88316</v>
      </c>
      <c r="C96" s="18" t="s">
        <v>35</v>
      </c>
      <c r="D96" s="13" t="s">
        <v>89</v>
      </c>
      <c r="E96" s="14">
        <v>4.4000000000000004</v>
      </c>
      <c r="F96" s="15">
        <v>23.71</v>
      </c>
      <c r="G96" s="25">
        <f t="shared" si="22"/>
        <v>30.239689823152098</v>
      </c>
      <c r="H96" s="26">
        <f t="shared" si="23"/>
        <v>133.05463522186923</v>
      </c>
    </row>
    <row r="97" spans="1:9" ht="16.2" thickBot="1" x14ac:dyDescent="0.35">
      <c r="A97" s="171" t="s">
        <v>79</v>
      </c>
      <c r="B97" s="172"/>
      <c r="C97" s="172"/>
      <c r="D97" s="172"/>
      <c r="E97" s="172"/>
      <c r="F97" s="172"/>
      <c r="G97" s="172"/>
      <c r="H97" s="35">
        <f>SUM(H82:H96)</f>
        <v>3242.0799192792142</v>
      </c>
    </row>
    <row r="98" spans="1:9" ht="14.4" thickBot="1" x14ac:dyDescent="0.35">
      <c r="A98" s="159" t="s">
        <v>289</v>
      </c>
      <c r="B98" s="160"/>
      <c r="C98" s="160"/>
      <c r="D98" s="160"/>
      <c r="E98" s="160"/>
      <c r="F98" s="160"/>
      <c r="G98" s="160"/>
      <c r="H98" s="161"/>
    </row>
    <row r="99" spans="1:9" x14ac:dyDescent="0.3">
      <c r="A99" s="162" t="s">
        <v>8</v>
      </c>
      <c r="B99" s="164" t="s">
        <v>55</v>
      </c>
      <c r="C99" s="164" t="s">
        <v>71</v>
      </c>
      <c r="D99" s="164" t="s">
        <v>73</v>
      </c>
      <c r="E99" s="164" t="s">
        <v>74</v>
      </c>
      <c r="F99" s="164" t="s">
        <v>72</v>
      </c>
      <c r="G99" s="164" t="s">
        <v>75</v>
      </c>
      <c r="H99" s="166"/>
    </row>
    <row r="100" spans="1:9" x14ac:dyDescent="0.3">
      <c r="A100" s="163"/>
      <c r="B100" s="165"/>
      <c r="C100" s="165"/>
      <c r="D100" s="165"/>
      <c r="E100" s="165"/>
      <c r="F100" s="165"/>
      <c r="G100" s="116" t="s">
        <v>53</v>
      </c>
      <c r="H100" s="119" t="s">
        <v>76</v>
      </c>
    </row>
    <row r="101" spans="1:9" x14ac:dyDescent="0.3">
      <c r="A101" s="17" t="s">
        <v>232</v>
      </c>
      <c r="B101" s="43">
        <v>9836</v>
      </c>
      <c r="C101" s="18" t="s">
        <v>197</v>
      </c>
      <c r="D101" s="13" t="s">
        <v>91</v>
      </c>
      <c r="E101" s="14">
        <v>20</v>
      </c>
      <c r="F101" s="15">
        <v>19.61</v>
      </c>
      <c r="G101" s="15">
        <f>F101*(1+$H$5)</f>
        <v>25.010557462337101</v>
      </c>
      <c r="H101" s="19">
        <f>E101*G101</f>
        <v>500.21114924674202</v>
      </c>
    </row>
    <row r="102" spans="1:9" x14ac:dyDescent="0.3">
      <c r="A102" s="17" t="s">
        <v>235</v>
      </c>
      <c r="B102" s="43">
        <v>3899</v>
      </c>
      <c r="C102" s="18" t="s">
        <v>198</v>
      </c>
      <c r="D102" s="13" t="s">
        <v>90</v>
      </c>
      <c r="E102" s="14">
        <v>6</v>
      </c>
      <c r="F102" s="15">
        <v>8.5</v>
      </c>
      <c r="G102" s="15">
        <f t="shared" ref="G102:G132" si="26">F102*(1+$H$5)</f>
        <v>10.84088416266524</v>
      </c>
      <c r="H102" s="19">
        <f t="shared" ref="H102:H133" si="27">E102*G102</f>
        <v>65.045304975991442</v>
      </c>
    </row>
    <row r="103" spans="1:9" x14ac:dyDescent="0.3">
      <c r="A103" s="17" t="s">
        <v>236</v>
      </c>
      <c r="B103" s="43">
        <v>3670</v>
      </c>
      <c r="C103" s="18" t="s">
        <v>200</v>
      </c>
      <c r="D103" s="13" t="s">
        <v>90</v>
      </c>
      <c r="E103" s="14">
        <v>1</v>
      </c>
      <c r="F103" s="15">
        <v>29.01</v>
      </c>
      <c r="G103" s="15">
        <f t="shared" si="26"/>
        <v>36.999299948108074</v>
      </c>
      <c r="H103" s="19">
        <f t="shared" si="27"/>
        <v>36.999299948108074</v>
      </c>
    </row>
    <row r="104" spans="1:9" x14ac:dyDescent="0.3">
      <c r="A104" s="17" t="s">
        <v>233</v>
      </c>
      <c r="B104" s="43">
        <v>3520</v>
      </c>
      <c r="C104" s="18" t="s">
        <v>271</v>
      </c>
      <c r="D104" s="13" t="s">
        <v>90</v>
      </c>
      <c r="E104" s="14">
        <v>3</v>
      </c>
      <c r="F104" s="15">
        <v>11.15</v>
      </c>
      <c r="G104" s="15">
        <f t="shared" si="26"/>
        <v>14.220689225143227</v>
      </c>
      <c r="H104" s="19">
        <f t="shared" si="27"/>
        <v>42.662067675429682</v>
      </c>
    </row>
    <row r="105" spans="1:9" x14ac:dyDescent="0.3">
      <c r="A105" s="17" t="s">
        <v>237</v>
      </c>
      <c r="B105" s="43">
        <v>11656</v>
      </c>
      <c r="C105" s="18" t="s">
        <v>394</v>
      </c>
      <c r="D105" s="13" t="s">
        <v>199</v>
      </c>
      <c r="E105" s="14">
        <v>1</v>
      </c>
      <c r="F105" s="15">
        <v>21.39</v>
      </c>
      <c r="G105" s="15">
        <f t="shared" si="26"/>
        <v>27.28076614581288</v>
      </c>
      <c r="H105" s="19">
        <f t="shared" si="27"/>
        <v>27.28076614581288</v>
      </c>
    </row>
    <row r="106" spans="1:9" x14ac:dyDescent="0.3">
      <c r="A106" s="17" t="s">
        <v>238</v>
      </c>
      <c r="B106" s="43">
        <v>301</v>
      </c>
      <c r="C106" s="18" t="s">
        <v>201</v>
      </c>
      <c r="D106" s="13" t="s">
        <v>90</v>
      </c>
      <c r="E106" s="14">
        <v>10</v>
      </c>
      <c r="F106" s="15">
        <v>2.5499999999999998</v>
      </c>
      <c r="G106" s="15">
        <f t="shared" si="26"/>
        <v>3.2522652487995716</v>
      </c>
      <c r="H106" s="19">
        <f t="shared" si="27"/>
        <v>32.522652487995714</v>
      </c>
    </row>
    <row r="107" spans="1:9" x14ac:dyDescent="0.3">
      <c r="A107" s="17" t="s">
        <v>239</v>
      </c>
      <c r="B107" s="43">
        <v>3509</v>
      </c>
      <c r="C107" s="18" t="s">
        <v>272</v>
      </c>
      <c r="D107" s="13" t="s">
        <v>90</v>
      </c>
      <c r="E107" s="14">
        <v>4</v>
      </c>
      <c r="F107" s="15">
        <v>8.77</v>
      </c>
      <c r="G107" s="15">
        <f t="shared" si="26"/>
        <v>11.185241659596958</v>
      </c>
      <c r="H107" s="19">
        <f t="shared" si="27"/>
        <v>44.740966638387832</v>
      </c>
      <c r="I107" s="146"/>
    </row>
    <row r="108" spans="1:9" x14ac:dyDescent="0.3">
      <c r="A108" s="17" t="s">
        <v>240</v>
      </c>
      <c r="B108" s="43">
        <v>9837</v>
      </c>
      <c r="C108" s="18" t="s">
        <v>273</v>
      </c>
      <c r="D108" s="13" t="s">
        <v>91</v>
      </c>
      <c r="E108" s="14">
        <v>12</v>
      </c>
      <c r="F108" s="15">
        <v>17.38</v>
      </c>
      <c r="G108" s="15">
        <f t="shared" si="26"/>
        <v>22.166419617308453</v>
      </c>
      <c r="H108" s="19">
        <f t="shared" si="27"/>
        <v>265.99703540770145</v>
      </c>
    </row>
    <row r="109" spans="1:9" x14ac:dyDescent="0.3">
      <c r="A109" s="17" t="s">
        <v>241</v>
      </c>
      <c r="B109" s="43">
        <v>3898</v>
      </c>
      <c r="C109" s="18" t="s">
        <v>274</v>
      </c>
      <c r="D109" s="13" t="s">
        <v>90</v>
      </c>
      <c r="E109" s="14">
        <v>5</v>
      </c>
      <c r="F109" s="15">
        <v>7.33</v>
      </c>
      <c r="G109" s="15">
        <f t="shared" si="26"/>
        <v>9.3486683426277892</v>
      </c>
      <c r="H109" s="19">
        <f t="shared" si="27"/>
        <v>46.743341713138946</v>
      </c>
    </row>
    <row r="110" spans="1:9" x14ac:dyDescent="0.3">
      <c r="A110" s="17" t="s">
        <v>242</v>
      </c>
      <c r="B110" s="43">
        <v>297</v>
      </c>
      <c r="C110" s="18" t="s">
        <v>275</v>
      </c>
      <c r="D110" s="13" t="s">
        <v>90</v>
      </c>
      <c r="E110" s="14">
        <v>12</v>
      </c>
      <c r="F110" s="15">
        <v>2.12</v>
      </c>
      <c r="G110" s="15">
        <f t="shared" si="26"/>
        <v>2.7038440499823895</v>
      </c>
      <c r="H110" s="19">
        <f t="shared" si="27"/>
        <v>32.446128599788672</v>
      </c>
    </row>
    <row r="111" spans="1:9" x14ac:dyDescent="0.3">
      <c r="A111" s="17" t="s">
        <v>243</v>
      </c>
      <c r="B111" s="43">
        <v>20080</v>
      </c>
      <c r="C111" s="18" t="s">
        <v>202</v>
      </c>
      <c r="D111" s="13" t="s">
        <v>90</v>
      </c>
      <c r="E111" s="14">
        <v>1</v>
      </c>
      <c r="F111" s="15">
        <v>24.86</v>
      </c>
      <c r="G111" s="15">
        <f t="shared" si="26"/>
        <v>31.706397680453865</v>
      </c>
      <c r="H111" s="19">
        <f t="shared" si="27"/>
        <v>31.706397680453865</v>
      </c>
      <c r="I111" s="145"/>
    </row>
    <row r="112" spans="1:9" ht="27.6" x14ac:dyDescent="0.3">
      <c r="A112" s="17" t="s">
        <v>356</v>
      </c>
      <c r="B112" s="43">
        <v>20078</v>
      </c>
      <c r="C112" s="18" t="s">
        <v>203</v>
      </c>
      <c r="D112" s="13" t="s">
        <v>90</v>
      </c>
      <c r="E112" s="14">
        <v>1</v>
      </c>
      <c r="F112" s="15">
        <v>31.44</v>
      </c>
      <c r="G112" s="15">
        <f t="shared" si="26"/>
        <v>40.098517420493543</v>
      </c>
      <c r="H112" s="19">
        <f t="shared" si="27"/>
        <v>40.098517420493543</v>
      </c>
    </row>
    <row r="113" spans="1:8" x14ac:dyDescent="0.3">
      <c r="A113" s="17" t="s">
        <v>244</v>
      </c>
      <c r="B113" s="43">
        <v>39996</v>
      </c>
      <c r="C113" s="18" t="s">
        <v>281</v>
      </c>
      <c r="D113" s="13" t="s">
        <v>91</v>
      </c>
      <c r="E113" s="14">
        <v>10</v>
      </c>
      <c r="F113" s="15">
        <v>5.44</v>
      </c>
      <c r="G113" s="15">
        <f t="shared" si="26"/>
        <v>6.9381658641057538</v>
      </c>
      <c r="H113" s="19">
        <f t="shared" si="27"/>
        <v>69.381658641057541</v>
      </c>
    </row>
    <row r="114" spans="1:8" x14ac:dyDescent="0.3">
      <c r="A114" s="17" t="s">
        <v>245</v>
      </c>
      <c r="B114" s="43" t="s">
        <v>326</v>
      </c>
      <c r="C114" s="18" t="s">
        <v>311</v>
      </c>
      <c r="D114" s="13" t="s">
        <v>90</v>
      </c>
      <c r="E114" s="14">
        <v>12</v>
      </c>
      <c r="F114" s="15">
        <v>3.65</v>
      </c>
      <c r="G114" s="15">
        <f t="shared" si="26"/>
        <v>4.6552031992621323</v>
      </c>
      <c r="H114" s="19">
        <f t="shared" si="27"/>
        <v>55.862438391145588</v>
      </c>
    </row>
    <row r="115" spans="1:8" x14ac:dyDescent="0.3">
      <c r="A115" s="17" t="s">
        <v>246</v>
      </c>
      <c r="B115" s="43" t="s">
        <v>327</v>
      </c>
      <c r="C115" s="18" t="s">
        <v>310</v>
      </c>
      <c r="D115" s="13" t="s">
        <v>90</v>
      </c>
      <c r="E115" s="14">
        <v>12</v>
      </c>
      <c r="F115" s="15">
        <v>4.8499999999999996</v>
      </c>
      <c r="G115" s="15">
        <f t="shared" si="26"/>
        <v>6.1856809634031071</v>
      </c>
      <c r="H115" s="19">
        <f t="shared" si="27"/>
        <v>74.228171560837282</v>
      </c>
    </row>
    <row r="116" spans="1:8" ht="27.6" x14ac:dyDescent="0.3">
      <c r="A116" s="17" t="s">
        <v>247</v>
      </c>
      <c r="B116" s="43">
        <v>7568</v>
      </c>
      <c r="C116" s="18" t="s">
        <v>353</v>
      </c>
      <c r="D116" s="13" t="s">
        <v>199</v>
      </c>
      <c r="E116" s="14">
        <f>E118+E119</f>
        <v>24</v>
      </c>
      <c r="F116" s="15">
        <v>0.73</v>
      </c>
      <c r="G116" s="15">
        <f t="shared" ref="G116" si="28">F116*(1+$H$5)</f>
        <v>0.93104063985242647</v>
      </c>
      <c r="H116" s="19">
        <f t="shared" ref="H116" si="29">E116*G116</f>
        <v>22.344975356458235</v>
      </c>
    </row>
    <row r="117" spans="1:8" x14ac:dyDescent="0.3">
      <c r="A117" s="17" t="s">
        <v>248</v>
      </c>
      <c r="B117" s="43">
        <v>1321</v>
      </c>
      <c r="C117" s="18" t="s">
        <v>352</v>
      </c>
      <c r="D117" s="13" t="s">
        <v>351</v>
      </c>
      <c r="E117" s="14"/>
      <c r="F117" s="15">
        <v>12.66</v>
      </c>
      <c r="G117" s="15">
        <f t="shared" si="26"/>
        <v>16.146540411687287</v>
      </c>
      <c r="H117" s="19">
        <f t="shared" si="27"/>
        <v>0</v>
      </c>
    </row>
    <row r="118" spans="1:8" x14ac:dyDescent="0.3">
      <c r="A118" s="17" t="s">
        <v>252</v>
      </c>
      <c r="B118" s="43">
        <v>39144</v>
      </c>
      <c r="C118" s="18" t="s">
        <v>279</v>
      </c>
      <c r="D118" s="13" t="s">
        <v>90</v>
      </c>
      <c r="E118" s="14">
        <v>12</v>
      </c>
      <c r="F118" s="15">
        <v>3.53</v>
      </c>
      <c r="G118" s="15">
        <f t="shared" si="26"/>
        <v>4.502155422848034</v>
      </c>
      <c r="H118" s="19">
        <f t="shared" si="27"/>
        <v>54.025865074176409</v>
      </c>
    </row>
    <row r="119" spans="1:8" x14ac:dyDescent="0.3">
      <c r="A119" s="17" t="s">
        <v>276</v>
      </c>
      <c r="B119" s="43">
        <v>39145</v>
      </c>
      <c r="C119" s="18" t="s">
        <v>204</v>
      </c>
      <c r="D119" s="13" t="s">
        <v>90</v>
      </c>
      <c r="E119" s="14">
        <v>12</v>
      </c>
      <c r="F119" s="15">
        <v>5.82</v>
      </c>
      <c r="G119" s="15">
        <f t="shared" si="26"/>
        <v>7.4228171560837293</v>
      </c>
      <c r="H119" s="19">
        <f t="shared" si="27"/>
        <v>89.073805873004744</v>
      </c>
    </row>
    <row r="120" spans="1:8" x14ac:dyDescent="0.25">
      <c r="A120" s="17" t="s">
        <v>277</v>
      </c>
      <c r="B120" s="43">
        <v>11962</v>
      </c>
      <c r="C120" s="132" t="s">
        <v>205</v>
      </c>
      <c r="D120" s="13" t="s">
        <v>90</v>
      </c>
      <c r="E120" s="14">
        <f>6</f>
        <v>6</v>
      </c>
      <c r="F120" s="15">
        <v>0.19</v>
      </c>
      <c r="G120" s="15">
        <f t="shared" si="26"/>
        <v>0.2423256459889877</v>
      </c>
      <c r="H120" s="19">
        <f t="shared" si="27"/>
        <v>1.4539538759339261</v>
      </c>
    </row>
    <row r="121" spans="1:8" x14ac:dyDescent="0.25">
      <c r="A121" s="17" t="s">
        <v>357</v>
      </c>
      <c r="B121" s="120">
        <v>39997</v>
      </c>
      <c r="C121" s="132" t="s">
        <v>206</v>
      </c>
      <c r="D121" s="13" t="s">
        <v>90</v>
      </c>
      <c r="E121" s="14">
        <v>20</v>
      </c>
      <c r="F121" s="15">
        <v>0.26</v>
      </c>
      <c r="G121" s="15">
        <f t="shared" si="26"/>
        <v>0.3316035155638779</v>
      </c>
      <c r="H121" s="19">
        <f t="shared" si="27"/>
        <v>6.6320703112775581</v>
      </c>
    </row>
    <row r="122" spans="1:8" ht="27.6" x14ac:dyDescent="0.25">
      <c r="A122" s="17" t="s">
        <v>278</v>
      </c>
      <c r="B122" s="43">
        <v>11267</v>
      </c>
      <c r="C122" s="132" t="s">
        <v>207</v>
      </c>
      <c r="D122" s="13" t="s">
        <v>90</v>
      </c>
      <c r="E122" s="14">
        <v>20</v>
      </c>
      <c r="F122" s="15">
        <v>1.1100000000000001</v>
      </c>
      <c r="G122" s="15">
        <f t="shared" si="26"/>
        <v>1.415691931830402</v>
      </c>
      <c r="H122" s="19">
        <f t="shared" si="27"/>
        <v>28.31383863660804</v>
      </c>
    </row>
    <row r="123" spans="1:8" x14ac:dyDescent="0.25">
      <c r="A123" s="17" t="s">
        <v>280</v>
      </c>
      <c r="B123" s="124">
        <v>88267</v>
      </c>
      <c r="C123" s="130" t="s">
        <v>234</v>
      </c>
      <c r="D123" s="124" t="s">
        <v>89</v>
      </c>
      <c r="E123" s="14">
        <f>8.8*2</f>
        <v>17.600000000000001</v>
      </c>
      <c r="F123" s="15">
        <v>30.35</v>
      </c>
      <c r="G123" s="15">
        <f t="shared" si="26"/>
        <v>38.708333451398829</v>
      </c>
      <c r="H123" s="19">
        <f t="shared" si="27"/>
        <v>681.26666874461944</v>
      </c>
    </row>
    <row r="124" spans="1:8" x14ac:dyDescent="0.25">
      <c r="A124" s="17" t="s">
        <v>395</v>
      </c>
      <c r="B124" s="129">
        <v>88248</v>
      </c>
      <c r="C124" s="135" t="s">
        <v>250</v>
      </c>
      <c r="D124" s="124" t="s">
        <v>89</v>
      </c>
      <c r="E124" s="14">
        <f>8.8*2</f>
        <v>17.600000000000001</v>
      </c>
      <c r="F124" s="15">
        <v>24.65</v>
      </c>
      <c r="G124" s="15">
        <f t="shared" si="26"/>
        <v>31.438564071729193</v>
      </c>
      <c r="H124" s="19">
        <f t="shared" si="27"/>
        <v>553.31872766243384</v>
      </c>
    </row>
    <row r="125" spans="1:8" ht="16.2" thickBot="1" x14ac:dyDescent="0.35">
      <c r="A125" s="171" t="s">
        <v>79</v>
      </c>
      <c r="B125" s="172"/>
      <c r="C125" s="172"/>
      <c r="D125" s="172"/>
      <c r="E125" s="172"/>
      <c r="F125" s="172"/>
      <c r="G125" s="172"/>
      <c r="H125" s="35">
        <f>SUM(H101:H124)</f>
        <v>2802.3558020675969</v>
      </c>
    </row>
    <row r="126" spans="1:8" ht="14.4" thickBot="1" x14ac:dyDescent="0.35">
      <c r="A126" s="159" t="s">
        <v>287</v>
      </c>
      <c r="B126" s="160"/>
      <c r="C126" s="160"/>
      <c r="D126" s="160"/>
      <c r="E126" s="160"/>
      <c r="F126" s="160"/>
      <c r="G126" s="160"/>
      <c r="H126" s="161"/>
    </row>
    <row r="127" spans="1:8" x14ac:dyDescent="0.3">
      <c r="A127" s="162" t="s">
        <v>8</v>
      </c>
      <c r="B127" s="164" t="s">
        <v>55</v>
      </c>
      <c r="C127" s="164" t="s">
        <v>71</v>
      </c>
      <c r="D127" s="164" t="s">
        <v>73</v>
      </c>
      <c r="E127" s="164" t="s">
        <v>74</v>
      </c>
      <c r="F127" s="164" t="s">
        <v>72</v>
      </c>
      <c r="G127" s="164" t="s">
        <v>75</v>
      </c>
      <c r="H127" s="166"/>
    </row>
    <row r="128" spans="1:8" x14ac:dyDescent="0.3">
      <c r="A128" s="163"/>
      <c r="B128" s="165"/>
      <c r="C128" s="165"/>
      <c r="D128" s="165"/>
      <c r="E128" s="165"/>
      <c r="F128" s="165"/>
      <c r="G128" s="116" t="s">
        <v>53</v>
      </c>
      <c r="H128" s="119" t="s">
        <v>76</v>
      </c>
    </row>
    <row r="129" spans="1:8" x14ac:dyDescent="0.25">
      <c r="A129" s="17" t="s">
        <v>347</v>
      </c>
      <c r="B129" s="129" t="s">
        <v>328</v>
      </c>
      <c r="C129" s="147" t="s">
        <v>315</v>
      </c>
      <c r="D129" s="13" t="s">
        <v>90</v>
      </c>
      <c r="E129" s="14">
        <v>1</v>
      </c>
      <c r="F129" s="15">
        <v>1312.5</v>
      </c>
      <c r="G129" s="15">
        <f t="shared" ref="G129" si="30">F129*(1+$H$5)</f>
        <v>1673.9600545291914</v>
      </c>
      <c r="H129" s="19">
        <f t="shared" ref="H129" si="31">E129*G129</f>
        <v>1673.9600545291914</v>
      </c>
    </row>
    <row r="130" spans="1:8" x14ac:dyDescent="0.25">
      <c r="A130" s="17" t="s">
        <v>348</v>
      </c>
      <c r="B130" s="129" t="s">
        <v>329</v>
      </c>
      <c r="C130" s="147" t="s">
        <v>317</v>
      </c>
      <c r="D130" s="13" t="s">
        <v>90</v>
      </c>
      <c r="E130" s="14">
        <v>1</v>
      </c>
      <c r="F130" s="15">
        <v>2250</v>
      </c>
      <c r="G130" s="15">
        <f t="shared" si="26"/>
        <v>2869.6458077643283</v>
      </c>
      <c r="H130" s="19">
        <f t="shared" si="27"/>
        <v>2869.6458077643283</v>
      </c>
    </row>
    <row r="131" spans="1:8" x14ac:dyDescent="0.25">
      <c r="A131" s="17" t="s">
        <v>358</v>
      </c>
      <c r="B131" s="129">
        <v>11963</v>
      </c>
      <c r="C131" s="147" t="s">
        <v>362</v>
      </c>
      <c r="D131" s="13" t="s">
        <v>199</v>
      </c>
      <c r="E131" s="14">
        <v>24</v>
      </c>
      <c r="F131" s="15">
        <v>8.31</v>
      </c>
      <c r="G131" s="15">
        <f t="shared" si="26"/>
        <v>10.598558516676253</v>
      </c>
      <c r="H131" s="19">
        <f t="shared" si="27"/>
        <v>254.36540440023006</v>
      </c>
    </row>
    <row r="132" spans="1:8" x14ac:dyDescent="0.3">
      <c r="A132" s="17" t="s">
        <v>359</v>
      </c>
      <c r="B132" s="13">
        <v>88316</v>
      </c>
      <c r="C132" s="18" t="s">
        <v>35</v>
      </c>
      <c r="D132" s="13" t="s">
        <v>89</v>
      </c>
      <c r="E132" s="14">
        <v>8.8000000000000007</v>
      </c>
      <c r="F132" s="15">
        <v>23.71</v>
      </c>
      <c r="G132" s="15">
        <f t="shared" si="26"/>
        <v>30.239689823152098</v>
      </c>
      <c r="H132" s="19">
        <f t="shared" si="27"/>
        <v>266.10927044373847</v>
      </c>
    </row>
    <row r="133" spans="1:8" x14ac:dyDescent="0.3">
      <c r="A133" s="17" t="s">
        <v>363</v>
      </c>
      <c r="B133" s="13">
        <v>88309</v>
      </c>
      <c r="C133" s="18" t="s">
        <v>41</v>
      </c>
      <c r="D133" s="13" t="s">
        <v>89</v>
      </c>
      <c r="E133" s="14">
        <f>4.4+1*8.8</f>
        <v>13.200000000000001</v>
      </c>
      <c r="F133" s="25">
        <v>30.99</v>
      </c>
      <c r="G133" s="25">
        <f t="shared" ref="G133" si="32">F133*(1+$H$5)</f>
        <v>39.524588258940675</v>
      </c>
      <c r="H133" s="26">
        <f t="shared" si="27"/>
        <v>521.72456501801696</v>
      </c>
    </row>
    <row r="134" spans="1:8" ht="16.2" thickBot="1" x14ac:dyDescent="0.35">
      <c r="A134" s="171" t="s">
        <v>79</v>
      </c>
      <c r="B134" s="172"/>
      <c r="C134" s="172"/>
      <c r="D134" s="172"/>
      <c r="E134" s="172"/>
      <c r="F134" s="172"/>
      <c r="G134" s="172"/>
      <c r="H134" s="35">
        <f>SUM(H129:H133)</f>
        <v>5585.8051021555048</v>
      </c>
    </row>
    <row r="135" spans="1:8" ht="14.4" thickBot="1" x14ac:dyDescent="0.35">
      <c r="A135" s="159" t="s">
        <v>288</v>
      </c>
      <c r="B135" s="160"/>
      <c r="C135" s="160"/>
      <c r="D135" s="160"/>
      <c r="E135" s="160"/>
      <c r="F135" s="160"/>
      <c r="G135" s="160"/>
      <c r="H135" s="161"/>
    </row>
    <row r="136" spans="1:8" x14ac:dyDescent="0.3">
      <c r="A136" s="162" t="s">
        <v>8</v>
      </c>
      <c r="B136" s="164" t="s">
        <v>55</v>
      </c>
      <c r="C136" s="164" t="s">
        <v>71</v>
      </c>
      <c r="D136" s="164" t="s">
        <v>73</v>
      </c>
      <c r="E136" s="164" t="s">
        <v>74</v>
      </c>
      <c r="F136" s="164" t="s">
        <v>72</v>
      </c>
      <c r="G136" s="164" t="s">
        <v>75</v>
      </c>
      <c r="H136" s="166"/>
    </row>
    <row r="137" spans="1:8" x14ac:dyDescent="0.3">
      <c r="A137" s="163"/>
      <c r="B137" s="165"/>
      <c r="C137" s="165"/>
      <c r="D137" s="165"/>
      <c r="E137" s="165"/>
      <c r="F137" s="165"/>
      <c r="G137" s="116" t="s">
        <v>53</v>
      </c>
      <c r="H137" s="119" t="s">
        <v>76</v>
      </c>
    </row>
    <row r="138" spans="1:8" x14ac:dyDescent="0.25">
      <c r="A138" s="17" t="s">
        <v>349</v>
      </c>
      <c r="B138" s="120" t="s">
        <v>298</v>
      </c>
      <c r="C138" s="117" t="s">
        <v>285</v>
      </c>
      <c r="D138" s="13" t="s">
        <v>90</v>
      </c>
      <c r="E138" s="14">
        <v>1</v>
      </c>
      <c r="F138" s="15">
        <v>450</v>
      </c>
      <c r="G138" s="15">
        <f t="shared" ref="G138" si="33">F138*(1+$H$5)</f>
        <v>573.92916155286559</v>
      </c>
      <c r="H138" s="19">
        <f t="shared" ref="H138" si="34">E138*G138</f>
        <v>573.92916155286559</v>
      </c>
    </row>
    <row r="139" spans="1:8" x14ac:dyDescent="0.3">
      <c r="A139" s="17" t="s">
        <v>360</v>
      </c>
      <c r="B139" s="13">
        <v>88316</v>
      </c>
      <c r="C139" s="18" t="s">
        <v>35</v>
      </c>
      <c r="D139" s="13" t="s">
        <v>89</v>
      </c>
      <c r="E139" s="14">
        <v>4.4000000000000004</v>
      </c>
      <c r="F139" s="15">
        <v>23.71</v>
      </c>
      <c r="G139" s="15">
        <f>F139*(1+$H$5)</f>
        <v>30.239689823152098</v>
      </c>
      <c r="H139" s="19">
        <f>E139*G139</f>
        <v>133.05463522186923</v>
      </c>
    </row>
    <row r="140" spans="1:8" x14ac:dyDescent="0.3">
      <c r="A140" s="17" t="s">
        <v>361</v>
      </c>
      <c r="B140" s="13">
        <v>88309</v>
      </c>
      <c r="C140" s="18" t="s">
        <v>41</v>
      </c>
      <c r="D140" s="13" t="s">
        <v>89</v>
      </c>
      <c r="E140" s="14">
        <v>4.4000000000000004</v>
      </c>
      <c r="F140" s="25">
        <v>30.99</v>
      </c>
      <c r="G140" s="15">
        <f t="shared" ref="G140" si="35">F140*(1+$H$5)</f>
        <v>39.524588258940675</v>
      </c>
      <c r="H140" s="19">
        <f t="shared" ref="H140" si="36">E140*G140</f>
        <v>173.90818833933898</v>
      </c>
    </row>
    <row r="141" spans="1:8" ht="16.2" thickBot="1" x14ac:dyDescent="0.35">
      <c r="A141" s="193" t="s">
        <v>79</v>
      </c>
      <c r="B141" s="194"/>
      <c r="C141" s="194"/>
      <c r="D141" s="194"/>
      <c r="E141" s="194"/>
      <c r="F141" s="194"/>
      <c r="G141" s="194"/>
      <c r="H141" s="133">
        <f>SUM(H138:H140)</f>
        <v>880.8919851140738</v>
      </c>
    </row>
    <row r="142" spans="1:8" ht="16.2" thickBot="1" x14ac:dyDescent="0.35">
      <c r="A142" s="191" t="s">
        <v>86</v>
      </c>
      <c r="B142" s="192"/>
      <c r="C142" s="192"/>
      <c r="D142" s="192"/>
      <c r="E142" s="192"/>
      <c r="F142" s="192"/>
      <c r="G142" s="192"/>
      <c r="H142" s="122">
        <f>H22+H40+H55+H78+H97+H141+H13+H134+H125</f>
        <v>97769.351577741181</v>
      </c>
    </row>
    <row r="143" spans="1:8" x14ac:dyDescent="0.3">
      <c r="A143" s="199" t="s">
        <v>80</v>
      </c>
      <c r="B143" s="200"/>
      <c r="C143" s="200"/>
      <c r="D143" s="28"/>
      <c r="E143" s="28"/>
      <c r="F143" s="68"/>
      <c r="G143" s="68"/>
      <c r="H143" s="29"/>
    </row>
    <row r="144" spans="1:8" x14ac:dyDescent="0.3">
      <c r="A144" s="201" t="s">
        <v>81</v>
      </c>
      <c r="B144" s="202"/>
      <c r="C144" s="202"/>
      <c r="H144" s="30"/>
    </row>
    <row r="145" spans="1:8" x14ac:dyDescent="0.3">
      <c r="A145" s="201" t="s">
        <v>84</v>
      </c>
      <c r="B145" s="202"/>
      <c r="C145" s="202"/>
      <c r="H145" s="30"/>
    </row>
    <row r="146" spans="1:8" x14ac:dyDescent="0.3">
      <c r="A146" s="201" t="s">
        <v>82</v>
      </c>
      <c r="B146" s="202"/>
      <c r="C146" s="202"/>
      <c r="H146" s="30"/>
    </row>
    <row r="147" spans="1:8" x14ac:dyDescent="0.3">
      <c r="A147" s="31"/>
      <c r="H147" s="30"/>
    </row>
    <row r="148" spans="1:8" x14ac:dyDescent="0.3">
      <c r="A148" s="33"/>
      <c r="D148" s="195" t="s">
        <v>85</v>
      </c>
      <c r="E148" s="195"/>
      <c r="F148" s="195"/>
      <c r="G148" s="195"/>
      <c r="H148" s="196"/>
    </row>
    <row r="149" spans="1:8" x14ac:dyDescent="0.3">
      <c r="A149" s="33"/>
      <c r="D149" s="195" t="s">
        <v>83</v>
      </c>
      <c r="E149" s="195"/>
      <c r="F149" s="195"/>
      <c r="G149" s="195"/>
      <c r="H149" s="196"/>
    </row>
    <row r="150" spans="1:8" ht="14.4" thickBot="1" x14ac:dyDescent="0.35">
      <c r="A150" s="34"/>
      <c r="B150" s="134"/>
      <c r="C150" s="32"/>
      <c r="D150" s="197" t="s">
        <v>84</v>
      </c>
      <c r="E150" s="197"/>
      <c r="F150" s="197"/>
      <c r="G150" s="197"/>
      <c r="H150" s="198"/>
    </row>
  </sheetData>
  <mergeCells count="97">
    <mergeCell ref="G99:H99"/>
    <mergeCell ref="A134:G134"/>
    <mergeCell ref="B99:B100"/>
    <mergeCell ref="C99:C100"/>
    <mergeCell ref="D99:D100"/>
    <mergeCell ref="E99:E100"/>
    <mergeCell ref="F99:F100"/>
    <mergeCell ref="A125:G125"/>
    <mergeCell ref="A126:H126"/>
    <mergeCell ref="A127:A128"/>
    <mergeCell ref="B127:B128"/>
    <mergeCell ref="C127:C128"/>
    <mergeCell ref="D127:D128"/>
    <mergeCell ref="E127:E128"/>
    <mergeCell ref="F127:F128"/>
    <mergeCell ref="G127:H127"/>
    <mergeCell ref="A13:G13"/>
    <mergeCell ref="A6:H6"/>
    <mergeCell ref="A7:A8"/>
    <mergeCell ref="B7:B8"/>
    <mergeCell ref="C7:C8"/>
    <mergeCell ref="D7:D8"/>
    <mergeCell ref="E7:E8"/>
    <mergeCell ref="F7:F8"/>
    <mergeCell ref="G7:H7"/>
    <mergeCell ref="A22:G22"/>
    <mergeCell ref="A14:H14"/>
    <mergeCell ref="A15:A16"/>
    <mergeCell ref="B15:B16"/>
    <mergeCell ref="C15:C16"/>
    <mergeCell ref="D15:D16"/>
    <mergeCell ref="E15:E16"/>
    <mergeCell ref="F15:F16"/>
    <mergeCell ref="G15:H15"/>
    <mergeCell ref="D148:H148"/>
    <mergeCell ref="D149:H149"/>
    <mergeCell ref="D150:H150"/>
    <mergeCell ref="A143:C143"/>
    <mergeCell ref="A144:C144"/>
    <mergeCell ref="A145:C145"/>
    <mergeCell ref="A146:C146"/>
    <mergeCell ref="A142:G142"/>
    <mergeCell ref="A78:G78"/>
    <mergeCell ref="A141:G141"/>
    <mergeCell ref="A136:A137"/>
    <mergeCell ref="B136:B137"/>
    <mergeCell ref="C136:C137"/>
    <mergeCell ref="D136:D137"/>
    <mergeCell ref="E136:E137"/>
    <mergeCell ref="F136:F137"/>
    <mergeCell ref="G136:H136"/>
    <mergeCell ref="E80:E81"/>
    <mergeCell ref="F80:F81"/>
    <mergeCell ref="G80:H80"/>
    <mergeCell ref="A97:G97"/>
    <mergeCell ref="A98:H98"/>
    <mergeCell ref="A99:A100"/>
    <mergeCell ref="A2:A4"/>
    <mergeCell ref="B2:E4"/>
    <mergeCell ref="A1:H1"/>
    <mergeCell ref="B5:E5"/>
    <mergeCell ref="F2:H2"/>
    <mergeCell ref="F3:G3"/>
    <mergeCell ref="F4:G4"/>
    <mergeCell ref="F5:G5"/>
    <mergeCell ref="G57:H57"/>
    <mergeCell ref="A24:A25"/>
    <mergeCell ref="B24:B25"/>
    <mergeCell ref="C24:C25"/>
    <mergeCell ref="D24:D25"/>
    <mergeCell ref="E24:E25"/>
    <mergeCell ref="A40:G40"/>
    <mergeCell ref="A41:H41"/>
    <mergeCell ref="F42:F43"/>
    <mergeCell ref="G42:H42"/>
    <mergeCell ref="A55:G55"/>
    <mergeCell ref="A42:A43"/>
    <mergeCell ref="B42:B43"/>
    <mergeCell ref="C42:C43"/>
    <mergeCell ref="D42:D43"/>
    <mergeCell ref="E42:E43"/>
    <mergeCell ref="A23:H23"/>
    <mergeCell ref="A56:H56"/>
    <mergeCell ref="A135:H135"/>
    <mergeCell ref="A79:H79"/>
    <mergeCell ref="A80:A81"/>
    <mergeCell ref="B80:B81"/>
    <mergeCell ref="C80:C81"/>
    <mergeCell ref="D80:D81"/>
    <mergeCell ref="F24:F25"/>
    <mergeCell ref="G24:H24"/>
    <mergeCell ref="A57:A58"/>
    <mergeCell ref="B57:B58"/>
    <mergeCell ref="C57:C58"/>
    <mergeCell ref="D57:D58"/>
    <mergeCell ref="E57:E58"/>
    <mergeCell ref="F57:F58"/>
  </mergeCells>
  <phoneticPr fontId="6" type="noConversion"/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2ABDD-6441-4999-AD33-934FBAD999AD}">
  <dimension ref="A1:K40"/>
  <sheetViews>
    <sheetView workbookViewId="0">
      <selection activeCell="I10" sqref="I10"/>
    </sheetView>
  </sheetViews>
  <sheetFormatPr defaultRowHeight="14.4" x14ac:dyDescent="0.3"/>
  <cols>
    <col min="1" max="1" width="8.88671875" style="114"/>
    <col min="2" max="2" width="71.109375" bestFit="1" customWidth="1"/>
    <col min="3" max="3" width="14.109375" bestFit="1" customWidth="1"/>
    <col min="4" max="4" width="14.77734375" bestFit="1" customWidth="1"/>
    <col min="5" max="5" width="18.33203125" customWidth="1"/>
    <col min="6" max="7" width="10.77734375" bestFit="1" customWidth="1"/>
    <col min="9" max="9" width="18.5546875" customWidth="1"/>
    <col min="10" max="10" width="7.5546875" customWidth="1"/>
  </cols>
  <sheetData>
    <row r="1" spans="1:11" ht="15" thickBot="1" x14ac:dyDescent="0.35">
      <c r="A1" s="106" t="s">
        <v>122</v>
      </c>
      <c r="B1" s="69" t="s">
        <v>123</v>
      </c>
      <c r="C1" s="70" t="s">
        <v>124</v>
      </c>
      <c r="D1" s="71" t="s">
        <v>125</v>
      </c>
      <c r="E1" s="71" t="s">
        <v>350</v>
      </c>
      <c r="F1" s="71" t="s">
        <v>126</v>
      </c>
      <c r="G1" s="72" t="s">
        <v>127</v>
      </c>
    </row>
    <row r="2" spans="1:11" ht="15" thickBot="1" x14ac:dyDescent="0.35">
      <c r="A2" s="107"/>
      <c r="B2" s="73" t="s">
        <v>128</v>
      </c>
      <c r="C2" s="74">
        <f>C3+C6+C13+C18+C27+C37+C31+C39+C34</f>
        <v>97769.351577741196</v>
      </c>
      <c r="D2" s="75">
        <v>26</v>
      </c>
      <c r="E2" s="75"/>
      <c r="F2" s="76"/>
      <c r="G2" s="77"/>
    </row>
    <row r="3" spans="1:11" ht="15" thickBot="1" x14ac:dyDescent="0.35">
      <c r="A3" s="108">
        <v>1</v>
      </c>
      <c r="B3" s="78" t="s">
        <v>136</v>
      </c>
      <c r="C3" s="79">
        <f>'PLANILHA ORÇAMENTÁRIA'!H22</f>
        <v>3455.0663065296189</v>
      </c>
      <c r="D3" s="80" t="s">
        <v>130</v>
      </c>
      <c r="E3" s="153">
        <f>C3/$C$2</f>
        <v>3.5338950814073129E-2</v>
      </c>
      <c r="F3" s="81"/>
      <c r="G3" s="82"/>
    </row>
    <row r="4" spans="1:11" x14ac:dyDescent="0.3">
      <c r="A4" s="109" t="s">
        <v>11</v>
      </c>
      <c r="B4" s="83" t="s">
        <v>131</v>
      </c>
      <c r="C4" s="84"/>
      <c r="D4" s="85" t="s">
        <v>173</v>
      </c>
      <c r="E4" s="85"/>
      <c r="F4" s="86"/>
      <c r="G4" s="87"/>
    </row>
    <row r="5" spans="1:11" ht="15" thickBot="1" x14ac:dyDescent="0.35">
      <c r="A5" s="110" t="s">
        <v>12</v>
      </c>
      <c r="B5" s="101" t="s">
        <v>137</v>
      </c>
      <c r="C5" s="102"/>
      <c r="D5" s="103" t="s">
        <v>173</v>
      </c>
      <c r="E5" s="103"/>
      <c r="F5" s="104"/>
      <c r="G5" s="105"/>
    </row>
    <row r="6" spans="1:11" x14ac:dyDescent="0.3">
      <c r="A6" s="112">
        <v>2</v>
      </c>
      <c r="B6" s="92" t="s">
        <v>166</v>
      </c>
      <c r="C6" s="93">
        <f>'PLANILHA ORÇAMENTÁRIA'!H40</f>
        <v>10765.562209662294</v>
      </c>
      <c r="D6" s="94" t="s">
        <v>251</v>
      </c>
      <c r="E6" s="153">
        <f>C6/$C$2</f>
        <v>0.11011182989284805</v>
      </c>
      <c r="F6" s="95"/>
      <c r="G6" s="96"/>
    </row>
    <row r="7" spans="1:11" x14ac:dyDescent="0.3">
      <c r="A7" s="113" t="s">
        <v>179</v>
      </c>
      <c r="B7" s="97" t="s">
        <v>142</v>
      </c>
      <c r="C7" s="98"/>
      <c r="D7" s="1" t="s">
        <v>130</v>
      </c>
      <c r="E7" s="1"/>
      <c r="F7" s="99"/>
      <c r="G7" s="100"/>
    </row>
    <row r="8" spans="1:11" x14ac:dyDescent="0.3">
      <c r="A8" s="113" t="s">
        <v>180</v>
      </c>
      <c r="B8" s="97" t="s">
        <v>143</v>
      </c>
      <c r="C8" s="98"/>
      <c r="D8" s="1" t="s">
        <v>130</v>
      </c>
      <c r="E8" s="1"/>
      <c r="F8" s="99"/>
      <c r="G8" s="100"/>
    </row>
    <row r="9" spans="1:11" x14ac:dyDescent="0.3">
      <c r="A9" s="113" t="s">
        <v>15</v>
      </c>
      <c r="B9" s="97" t="s">
        <v>174</v>
      </c>
      <c r="C9" s="98"/>
      <c r="D9" s="1" t="s">
        <v>173</v>
      </c>
      <c r="E9" s="1"/>
      <c r="F9" s="99"/>
      <c r="G9" s="100"/>
    </row>
    <row r="10" spans="1:11" x14ac:dyDescent="0.3">
      <c r="A10" s="113" t="s">
        <v>4</v>
      </c>
      <c r="B10" s="97" t="s">
        <v>165</v>
      </c>
      <c r="C10" s="98"/>
      <c r="D10" s="1" t="s">
        <v>130</v>
      </c>
      <c r="E10" s="1"/>
      <c r="F10" s="99"/>
      <c r="G10" s="100"/>
    </row>
    <row r="11" spans="1:11" x14ac:dyDescent="0.3">
      <c r="A11" s="113" t="s">
        <v>16</v>
      </c>
      <c r="B11" s="97" t="s">
        <v>144</v>
      </c>
      <c r="C11" s="98"/>
      <c r="D11" s="1" t="s">
        <v>173</v>
      </c>
      <c r="E11" s="1"/>
      <c r="F11" s="99"/>
      <c r="G11" s="100"/>
    </row>
    <row r="12" spans="1:11" ht="15" thickBot="1" x14ac:dyDescent="0.35">
      <c r="A12" s="113" t="s">
        <v>17</v>
      </c>
      <c r="B12" s="97" t="s">
        <v>132</v>
      </c>
      <c r="C12" s="98"/>
      <c r="D12" s="1" t="s">
        <v>173</v>
      </c>
      <c r="E12" s="1"/>
      <c r="F12" s="99"/>
      <c r="G12" s="100"/>
    </row>
    <row r="13" spans="1:11" x14ac:dyDescent="0.3">
      <c r="A13" s="112">
        <v>3</v>
      </c>
      <c r="B13" s="92" t="s">
        <v>139</v>
      </c>
      <c r="C13" s="93">
        <f>'PLANILHA ORÇAMENTÁRIA'!H55</f>
        <v>4375.3463612860724</v>
      </c>
      <c r="D13" s="94" t="s">
        <v>184</v>
      </c>
      <c r="E13" s="153">
        <f>C13/$C$2</f>
        <v>4.4751717083927063E-2</v>
      </c>
      <c r="F13" s="95"/>
      <c r="G13" s="96"/>
    </row>
    <row r="14" spans="1:11" x14ac:dyDescent="0.3">
      <c r="A14" s="113" t="s">
        <v>158</v>
      </c>
      <c r="B14" s="97" t="s">
        <v>182</v>
      </c>
      <c r="C14" s="98"/>
      <c r="D14" s="1" t="s">
        <v>130</v>
      </c>
      <c r="E14" s="1"/>
      <c r="F14" s="99"/>
      <c r="G14" s="100"/>
    </row>
    <row r="15" spans="1:11" x14ac:dyDescent="0.3">
      <c r="A15" s="113" t="s">
        <v>159</v>
      </c>
      <c r="B15" s="97" t="s">
        <v>145</v>
      </c>
      <c r="C15" s="98"/>
      <c r="D15" s="1" t="s">
        <v>130</v>
      </c>
      <c r="E15" s="1"/>
      <c r="F15" s="99"/>
      <c r="G15" s="100"/>
    </row>
    <row r="16" spans="1:11" x14ac:dyDescent="0.3">
      <c r="A16" s="113" t="s">
        <v>344</v>
      </c>
      <c r="B16" s="97" t="s">
        <v>183</v>
      </c>
      <c r="C16" s="98"/>
      <c r="D16" s="1" t="s">
        <v>130</v>
      </c>
      <c r="E16" s="1"/>
      <c r="F16" s="99"/>
      <c r="G16" s="100"/>
      <c r="I16" s="152"/>
      <c r="J16" s="152"/>
      <c r="K16" s="152"/>
    </row>
    <row r="17" spans="1:7" ht="15" thickBot="1" x14ac:dyDescent="0.35">
      <c r="A17" s="113" t="s">
        <v>160</v>
      </c>
      <c r="B17" s="97" t="s">
        <v>132</v>
      </c>
      <c r="C17" s="98"/>
      <c r="D17" s="1" t="s">
        <v>173</v>
      </c>
      <c r="E17" s="1"/>
      <c r="F17" s="99"/>
      <c r="G17" s="100"/>
    </row>
    <row r="18" spans="1:7" x14ac:dyDescent="0.3">
      <c r="A18" s="112">
        <v>4</v>
      </c>
      <c r="B18" s="92" t="s">
        <v>140</v>
      </c>
      <c r="C18" s="93">
        <f>'PLANILHA ORÇAMENTÁRIA'!H78</f>
        <v>39135.269787916579</v>
      </c>
      <c r="D18" s="94" t="s">
        <v>284</v>
      </c>
      <c r="E18" s="153">
        <f>C18/$C$2</f>
        <v>0.40028157245983381</v>
      </c>
      <c r="F18" s="95"/>
      <c r="G18" s="96"/>
    </row>
    <row r="19" spans="1:7" x14ac:dyDescent="0.3">
      <c r="A19" s="113" t="s">
        <v>21</v>
      </c>
      <c r="B19" s="97" t="s">
        <v>146</v>
      </c>
      <c r="C19" s="98"/>
      <c r="D19" s="1" t="s">
        <v>283</v>
      </c>
      <c r="E19" s="1"/>
      <c r="F19" s="99"/>
      <c r="G19" s="100"/>
    </row>
    <row r="20" spans="1:7" x14ac:dyDescent="0.3">
      <c r="A20" s="113" t="s">
        <v>22</v>
      </c>
      <c r="B20" s="97" t="s">
        <v>147</v>
      </c>
      <c r="C20" s="98"/>
      <c r="D20" s="1" t="s">
        <v>130</v>
      </c>
      <c r="E20" s="1"/>
      <c r="F20" s="99"/>
      <c r="G20" s="100"/>
    </row>
    <row r="21" spans="1:7" x14ac:dyDescent="0.3">
      <c r="A21" s="113" t="s">
        <v>23</v>
      </c>
      <c r="B21" s="97" t="s">
        <v>148</v>
      </c>
      <c r="C21" s="98"/>
      <c r="D21" s="1" t="s">
        <v>129</v>
      </c>
      <c r="E21" s="1"/>
      <c r="F21" s="99"/>
      <c r="G21" s="100"/>
    </row>
    <row r="22" spans="1:7" x14ac:dyDescent="0.3">
      <c r="A22" s="113" t="s">
        <v>24</v>
      </c>
      <c r="B22" s="97" t="s">
        <v>149</v>
      </c>
      <c r="C22" s="98"/>
      <c r="D22" s="1" t="s">
        <v>130</v>
      </c>
      <c r="E22" s="1"/>
      <c r="F22" s="99"/>
      <c r="G22" s="100"/>
    </row>
    <row r="23" spans="1:7" x14ac:dyDescent="0.3">
      <c r="A23" s="113" t="s">
        <v>25</v>
      </c>
      <c r="B23" s="97" t="s">
        <v>254</v>
      </c>
      <c r="C23" s="98"/>
      <c r="D23" s="1" t="s">
        <v>173</v>
      </c>
      <c r="E23" s="1"/>
      <c r="F23" s="99"/>
      <c r="G23" s="100"/>
    </row>
    <row r="24" spans="1:7" x14ac:dyDescent="0.3">
      <c r="A24" s="113" t="s">
        <v>164</v>
      </c>
      <c r="B24" s="97" t="s">
        <v>255</v>
      </c>
      <c r="C24" s="98"/>
      <c r="D24" s="1" t="s">
        <v>173</v>
      </c>
      <c r="E24" s="1"/>
      <c r="F24" s="99"/>
      <c r="G24" s="100"/>
    </row>
    <row r="25" spans="1:7" x14ac:dyDescent="0.3">
      <c r="A25" s="113" t="s">
        <v>26</v>
      </c>
      <c r="B25" s="97" t="s">
        <v>150</v>
      </c>
      <c r="C25" s="98"/>
      <c r="D25" s="1" t="s">
        <v>173</v>
      </c>
      <c r="E25" s="1"/>
      <c r="F25" s="99"/>
      <c r="G25" s="100"/>
    </row>
    <row r="26" spans="1:7" ht="15" thickBot="1" x14ac:dyDescent="0.35">
      <c r="A26" s="113" t="s">
        <v>27</v>
      </c>
      <c r="B26" s="88" t="s">
        <v>132</v>
      </c>
      <c r="C26" s="89"/>
      <c r="D26" s="2" t="s">
        <v>173</v>
      </c>
      <c r="E26" s="2"/>
      <c r="F26" s="90"/>
      <c r="G26" s="91"/>
    </row>
    <row r="27" spans="1:7" x14ac:dyDescent="0.3">
      <c r="A27" s="112">
        <v>5</v>
      </c>
      <c r="B27" s="92" t="s">
        <v>171</v>
      </c>
      <c r="C27" s="93">
        <f>'PLANILHA ORÇAMENTÁRIA'!H97</f>
        <v>3242.0799192792142</v>
      </c>
      <c r="D27" s="94" t="s">
        <v>129</v>
      </c>
      <c r="E27" s="153">
        <f>C27/$C$2</f>
        <v>3.3160493211426056E-2</v>
      </c>
      <c r="F27" s="95"/>
      <c r="G27" s="96"/>
    </row>
    <row r="28" spans="1:7" x14ac:dyDescent="0.3">
      <c r="A28" s="113" t="s">
        <v>223</v>
      </c>
      <c r="B28" s="97" t="s">
        <v>151</v>
      </c>
      <c r="C28" s="98"/>
      <c r="D28" s="1" t="s">
        <v>130</v>
      </c>
      <c r="E28" s="1"/>
      <c r="F28" s="99"/>
      <c r="G28" s="100"/>
    </row>
    <row r="29" spans="1:7" x14ac:dyDescent="0.3">
      <c r="A29" s="113" t="s">
        <v>224</v>
      </c>
      <c r="B29" s="97" t="s">
        <v>152</v>
      </c>
      <c r="C29" s="98"/>
      <c r="D29" s="1" t="s">
        <v>173</v>
      </c>
      <c r="E29" s="1"/>
      <c r="F29" s="99"/>
      <c r="G29" s="100"/>
    </row>
    <row r="30" spans="1:7" ht="15" thickBot="1" x14ac:dyDescent="0.35">
      <c r="A30" s="113" t="s">
        <v>225</v>
      </c>
      <c r="B30" s="97" t="s">
        <v>132</v>
      </c>
      <c r="C30" s="98"/>
      <c r="D30" s="1" t="s">
        <v>173</v>
      </c>
      <c r="E30" s="1"/>
      <c r="F30" s="99"/>
      <c r="G30" s="100"/>
    </row>
    <row r="31" spans="1:7" x14ac:dyDescent="0.3">
      <c r="A31" s="112">
        <v>6</v>
      </c>
      <c r="B31" s="92" t="s">
        <v>346</v>
      </c>
      <c r="C31" s="93">
        <f>'PLANILHA ORÇAMENTÁRIA'!H125</f>
        <v>2802.3558020675969</v>
      </c>
      <c r="D31" s="94" t="s">
        <v>133</v>
      </c>
      <c r="E31" s="153">
        <f>C31/$C$2</f>
        <v>2.866292715298727E-2</v>
      </c>
      <c r="F31" s="95"/>
      <c r="G31" s="96"/>
    </row>
    <row r="32" spans="1:7" x14ac:dyDescent="0.3">
      <c r="A32" s="113" t="s">
        <v>232</v>
      </c>
      <c r="B32" s="97" t="s">
        <v>172</v>
      </c>
      <c r="C32" s="98"/>
      <c r="D32" s="1" t="s">
        <v>129</v>
      </c>
      <c r="E32" s="1"/>
      <c r="F32" s="99"/>
      <c r="G32" s="100"/>
    </row>
    <row r="33" spans="1:7" ht="15" thickBot="1" x14ac:dyDescent="0.35">
      <c r="A33" s="113" t="s">
        <v>235</v>
      </c>
      <c r="B33" s="97" t="s">
        <v>132</v>
      </c>
      <c r="C33" s="98"/>
      <c r="D33" s="1" t="s">
        <v>173</v>
      </c>
      <c r="E33" s="1"/>
      <c r="F33" s="99"/>
      <c r="G33" s="100"/>
    </row>
    <row r="34" spans="1:7" x14ac:dyDescent="0.3">
      <c r="A34" s="112">
        <v>7</v>
      </c>
      <c r="B34" s="92" t="s">
        <v>345</v>
      </c>
      <c r="C34" s="93">
        <f>'PLANILHA ORÇAMENTÁRIA'!H134</f>
        <v>5585.8051021555048</v>
      </c>
      <c r="D34" s="94" t="s">
        <v>133</v>
      </c>
      <c r="E34" s="153">
        <f>C34/$C$2</f>
        <v>5.713247568911161E-2</v>
      </c>
      <c r="F34" s="95"/>
      <c r="G34" s="96"/>
    </row>
    <row r="35" spans="1:7" x14ac:dyDescent="0.3">
      <c r="A35" s="113" t="s">
        <v>347</v>
      </c>
      <c r="B35" s="97" t="s">
        <v>249</v>
      </c>
      <c r="C35" s="98"/>
      <c r="D35" s="1" t="s">
        <v>130</v>
      </c>
      <c r="E35" s="1"/>
      <c r="F35" s="99"/>
      <c r="G35" s="100"/>
    </row>
    <row r="36" spans="1:7" ht="15" thickBot="1" x14ac:dyDescent="0.35">
      <c r="A36" s="113" t="s">
        <v>348</v>
      </c>
      <c r="B36" s="97" t="s">
        <v>132</v>
      </c>
      <c r="C36" s="98"/>
      <c r="D36" s="1" t="s">
        <v>173</v>
      </c>
      <c r="E36" s="1"/>
      <c r="F36" s="99"/>
      <c r="G36" s="100"/>
    </row>
    <row r="37" spans="1:7" x14ac:dyDescent="0.3">
      <c r="A37" s="112">
        <v>8</v>
      </c>
      <c r="B37" s="92" t="s">
        <v>141</v>
      </c>
      <c r="C37" s="93">
        <f>'PLANILHA ORÇAMENTÁRIA'!H141</f>
        <v>880.8919851140738</v>
      </c>
      <c r="D37" s="94" t="s">
        <v>130</v>
      </c>
      <c r="E37" s="153">
        <f>C37/$C$2</f>
        <v>9.0098990215111887E-3</v>
      </c>
      <c r="F37" s="95"/>
      <c r="G37" s="96"/>
    </row>
    <row r="38" spans="1:7" ht="15" thickBot="1" x14ac:dyDescent="0.35">
      <c r="A38" s="111" t="s">
        <v>349</v>
      </c>
      <c r="B38" s="88" t="s">
        <v>175</v>
      </c>
      <c r="C38" s="89"/>
      <c r="D38" s="2" t="s">
        <v>130</v>
      </c>
      <c r="E38" s="2"/>
      <c r="F38" s="90"/>
      <c r="G38" s="91"/>
    </row>
    <row r="39" spans="1:7" x14ac:dyDescent="0.3">
      <c r="A39" s="112">
        <v>0</v>
      </c>
      <c r="B39" s="92" t="s">
        <v>282</v>
      </c>
      <c r="C39" s="93">
        <f>'PLANILHA ORÇAMENTÁRIA'!H13</f>
        <v>27526.974103730237</v>
      </c>
      <c r="D39" s="94"/>
      <c r="E39" s="153">
        <f>C39/$C$2</f>
        <v>0.2815501346742818</v>
      </c>
      <c r="F39" s="95"/>
      <c r="G39" s="96"/>
    </row>
    <row r="40" spans="1:7" ht="15" thickBot="1" x14ac:dyDescent="0.35">
      <c r="A40" s="111"/>
      <c r="B40" s="88"/>
      <c r="C40" s="89"/>
      <c r="D40" s="2"/>
      <c r="E40" s="2"/>
      <c r="F40" s="90"/>
      <c r="G40" s="91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9FB4C-1C3B-4908-8852-6B43FED9F585}">
  <dimension ref="A1:D16"/>
  <sheetViews>
    <sheetView workbookViewId="0">
      <selection activeCell="F26" sqref="F26"/>
    </sheetView>
  </sheetViews>
  <sheetFormatPr defaultRowHeight="14.4" x14ac:dyDescent="0.3"/>
  <cols>
    <col min="2" max="2" width="29" customWidth="1"/>
    <col min="3" max="3" width="20" bestFit="1" customWidth="1"/>
    <col min="4" max="4" width="12.109375" customWidth="1"/>
  </cols>
  <sheetData>
    <row r="1" spans="1:4" x14ac:dyDescent="0.3">
      <c r="A1" s="38" t="s">
        <v>68</v>
      </c>
      <c r="B1" s="39" t="s">
        <v>56</v>
      </c>
      <c r="C1" s="8" t="s">
        <v>87</v>
      </c>
    </row>
    <row r="2" spans="1:4" x14ac:dyDescent="0.3">
      <c r="A2" s="5" t="s">
        <v>57</v>
      </c>
      <c r="B2" s="1" t="s">
        <v>62</v>
      </c>
      <c r="C2" s="6">
        <v>5.5E-2</v>
      </c>
    </row>
    <row r="3" spans="1:4" x14ac:dyDescent="0.3">
      <c r="A3" s="5" t="s">
        <v>58</v>
      </c>
      <c r="B3" s="1" t="s">
        <v>63</v>
      </c>
      <c r="C3" s="6">
        <v>0.01</v>
      </c>
      <c r="D3" s="4"/>
    </row>
    <row r="4" spans="1:4" x14ac:dyDescent="0.3">
      <c r="A4" s="5" t="s">
        <v>59</v>
      </c>
      <c r="B4" s="1" t="s">
        <v>64</v>
      </c>
      <c r="C4" s="6">
        <v>1.2699999999999999E-2</v>
      </c>
      <c r="D4" s="4"/>
    </row>
    <row r="5" spans="1:4" x14ac:dyDescent="0.3">
      <c r="A5" s="5" t="s">
        <v>60</v>
      </c>
      <c r="B5" s="1" t="s">
        <v>67</v>
      </c>
      <c r="C5" s="6">
        <v>1.3899999999999999E-2</v>
      </c>
      <c r="D5" s="4"/>
    </row>
    <row r="6" spans="1:4" x14ac:dyDescent="0.3">
      <c r="A6" s="5" t="s">
        <v>0</v>
      </c>
      <c r="B6" s="1" t="s">
        <v>65</v>
      </c>
      <c r="C6" s="6">
        <v>8.9599999999999999E-2</v>
      </c>
      <c r="D6" s="4"/>
    </row>
    <row r="7" spans="1:4" ht="15" thickBot="1" x14ac:dyDescent="0.35">
      <c r="A7" s="40" t="s">
        <v>61</v>
      </c>
      <c r="B7" s="2" t="s">
        <v>66</v>
      </c>
      <c r="C7" s="7">
        <v>6.6500000000000004E-2</v>
      </c>
      <c r="D7" s="4"/>
    </row>
    <row r="8" spans="1:4" ht="15" thickBot="1" x14ac:dyDescent="0.35">
      <c r="A8" s="211" t="s">
        <v>70</v>
      </c>
      <c r="B8" s="212"/>
      <c r="C8" s="9">
        <f>(((1+(C2+C3+C4))*(1+C5)*(1+C6))/(1-C7))-1</f>
        <v>0.27539813678414582</v>
      </c>
      <c r="D8" s="4"/>
    </row>
    <row r="11" spans="1:4" ht="15" thickBot="1" x14ac:dyDescent="0.35"/>
    <row r="12" spans="1:4" ht="21.6" customHeight="1" x14ac:dyDescent="0.3">
      <c r="A12" s="213" t="s">
        <v>69</v>
      </c>
      <c r="B12" s="214"/>
      <c r="C12" s="214"/>
      <c r="D12" s="215"/>
    </row>
    <row r="13" spans="1:4" x14ac:dyDescent="0.3">
      <c r="A13" s="205"/>
      <c r="B13" s="206"/>
      <c r="C13" s="206"/>
      <c r="D13" s="207"/>
    </row>
    <row r="14" spans="1:4" ht="16.8" customHeight="1" thickBot="1" x14ac:dyDescent="0.35">
      <c r="A14" s="208"/>
      <c r="B14" s="209"/>
      <c r="C14" s="209"/>
      <c r="D14" s="210"/>
    </row>
    <row r="16" spans="1:4" x14ac:dyDescent="0.3">
      <c r="A16" t="s">
        <v>88</v>
      </c>
    </row>
  </sheetData>
  <mergeCells count="3">
    <mergeCell ref="A13:D14"/>
    <mergeCell ref="A8:B8"/>
    <mergeCell ref="A12:D1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F112A-A121-4817-B54E-4E302E4C7AE5}">
  <dimension ref="A1:F18"/>
  <sheetViews>
    <sheetView zoomScale="85" zoomScaleNormal="85" workbookViewId="0">
      <selection activeCell="E14" sqref="E14"/>
    </sheetView>
  </sheetViews>
  <sheetFormatPr defaultRowHeight="13.8" x14ac:dyDescent="0.25"/>
  <cols>
    <col min="1" max="1" width="32.109375" style="41" customWidth="1"/>
    <col min="2" max="2" width="29.109375" style="41" bestFit="1" customWidth="1"/>
    <col min="3" max="3" width="79.6640625" style="41" bestFit="1" customWidth="1"/>
    <col min="4" max="4" width="9" style="41" customWidth="1"/>
    <col min="5" max="5" width="13.88671875" style="41" bestFit="1" customWidth="1"/>
    <col min="6" max="6" width="61.77734375" style="41" bestFit="1" customWidth="1"/>
    <col min="7" max="16384" width="8.88671875" style="41"/>
  </cols>
  <sheetData>
    <row r="1" spans="1:6" ht="19.95" customHeight="1" thickBot="1" x14ac:dyDescent="0.3">
      <c r="A1" s="216" t="s">
        <v>106</v>
      </c>
      <c r="B1" s="217"/>
      <c r="C1" s="217"/>
      <c r="D1" s="217"/>
      <c r="E1" s="217"/>
      <c r="F1" s="218"/>
    </row>
    <row r="2" spans="1:6" ht="19.95" customHeight="1" x14ac:dyDescent="0.25">
      <c r="A2" s="138" t="s">
        <v>55</v>
      </c>
      <c r="B2" s="139" t="s">
        <v>54</v>
      </c>
      <c r="C2" s="139" t="s">
        <v>52</v>
      </c>
      <c r="D2" s="139" t="s">
        <v>73</v>
      </c>
      <c r="E2" s="139" t="s">
        <v>53</v>
      </c>
      <c r="F2" s="140" t="s">
        <v>51</v>
      </c>
    </row>
    <row r="3" spans="1:6" ht="19.95" customHeight="1" x14ac:dyDescent="0.25">
      <c r="A3" s="44" t="s">
        <v>104</v>
      </c>
      <c r="B3" s="43" t="s">
        <v>98</v>
      </c>
      <c r="C3" s="43" t="s">
        <v>256</v>
      </c>
      <c r="D3" s="43" t="s">
        <v>92</v>
      </c>
      <c r="E3" s="46">
        <v>2.15</v>
      </c>
      <c r="F3" s="47" t="s">
        <v>3</v>
      </c>
    </row>
    <row r="4" spans="1:6" ht="19.95" customHeight="1" x14ac:dyDescent="0.25">
      <c r="A4" s="44" t="s">
        <v>105</v>
      </c>
      <c r="B4" s="43" t="s">
        <v>99</v>
      </c>
      <c r="C4" s="43" t="s">
        <v>94</v>
      </c>
      <c r="D4" s="43" t="s">
        <v>90</v>
      </c>
      <c r="E4" s="46">
        <v>250</v>
      </c>
      <c r="F4" s="47" t="s">
        <v>3</v>
      </c>
    </row>
    <row r="5" spans="1:6" ht="19.95" customHeight="1" x14ac:dyDescent="0.25">
      <c r="A5" s="44" t="s">
        <v>298</v>
      </c>
      <c r="B5" s="43" t="s">
        <v>365</v>
      </c>
      <c r="C5" s="43" t="s">
        <v>285</v>
      </c>
      <c r="D5" s="43" t="s">
        <v>90</v>
      </c>
      <c r="E5" s="46">
        <v>450</v>
      </c>
      <c r="F5" s="47" t="s">
        <v>3</v>
      </c>
    </row>
    <row r="6" spans="1:6" ht="19.95" customHeight="1" x14ac:dyDescent="0.25">
      <c r="A6" s="44" t="s">
        <v>300</v>
      </c>
      <c r="B6" s="43" t="s">
        <v>386</v>
      </c>
      <c r="C6" s="43" t="s">
        <v>385</v>
      </c>
      <c r="D6" s="43" t="s">
        <v>90</v>
      </c>
      <c r="E6" s="46">
        <v>310</v>
      </c>
      <c r="F6" s="47" t="s">
        <v>3</v>
      </c>
    </row>
    <row r="7" spans="1:6" ht="19.95" customHeight="1" x14ac:dyDescent="0.25">
      <c r="A7" s="44" t="s">
        <v>324</v>
      </c>
      <c r="B7" s="43" t="s">
        <v>301</v>
      </c>
      <c r="C7" s="43" t="s">
        <v>309</v>
      </c>
      <c r="D7" s="43" t="s">
        <v>90</v>
      </c>
      <c r="E7" s="46">
        <v>30.07</v>
      </c>
      <c r="F7" s="47" t="s">
        <v>3</v>
      </c>
    </row>
    <row r="8" spans="1:6" ht="19.95" customHeight="1" x14ac:dyDescent="0.25">
      <c r="A8" s="44" t="s">
        <v>325</v>
      </c>
      <c r="B8" s="43" t="s">
        <v>301</v>
      </c>
      <c r="C8" s="43" t="s">
        <v>286</v>
      </c>
      <c r="D8" s="43" t="s">
        <v>90</v>
      </c>
      <c r="E8" s="46">
        <v>2.2400000000000002</v>
      </c>
      <c r="F8" s="47" t="s">
        <v>3</v>
      </c>
    </row>
    <row r="9" spans="1:6" ht="19.95" customHeight="1" x14ac:dyDescent="0.25">
      <c r="A9" s="44" t="s">
        <v>326</v>
      </c>
      <c r="B9" s="43" t="s">
        <v>304</v>
      </c>
      <c r="C9" s="43" t="s">
        <v>311</v>
      </c>
      <c r="D9" s="43" t="s">
        <v>90</v>
      </c>
      <c r="E9" s="46">
        <v>3.65</v>
      </c>
      <c r="F9" s="47" t="s">
        <v>3</v>
      </c>
    </row>
    <row r="10" spans="1:6" ht="19.95" customHeight="1" x14ac:dyDescent="0.25">
      <c r="A10" s="44" t="s">
        <v>327</v>
      </c>
      <c r="B10" s="43" t="s">
        <v>304</v>
      </c>
      <c r="C10" s="43" t="s">
        <v>310</v>
      </c>
      <c r="D10" s="43" t="s">
        <v>90</v>
      </c>
      <c r="E10" s="46">
        <v>4.8499999999999996</v>
      </c>
      <c r="F10" s="47" t="s">
        <v>3</v>
      </c>
    </row>
    <row r="11" spans="1:6" ht="19.95" customHeight="1" x14ac:dyDescent="0.25">
      <c r="A11" s="44" t="s">
        <v>328</v>
      </c>
      <c r="B11" s="43" t="s">
        <v>316</v>
      </c>
      <c r="C11" s="43" t="s">
        <v>315</v>
      </c>
      <c r="D11" s="43" t="s">
        <v>90</v>
      </c>
      <c r="E11" s="46">
        <v>1312.5</v>
      </c>
      <c r="F11" s="47" t="s">
        <v>3</v>
      </c>
    </row>
    <row r="12" spans="1:6" ht="19.95" customHeight="1" x14ac:dyDescent="0.25">
      <c r="A12" s="44" t="s">
        <v>329</v>
      </c>
      <c r="B12" s="43" t="s">
        <v>316</v>
      </c>
      <c r="C12" s="43" t="s">
        <v>317</v>
      </c>
      <c r="D12" s="43" t="s">
        <v>90</v>
      </c>
      <c r="E12" s="46">
        <v>2250</v>
      </c>
      <c r="F12" s="47" t="s">
        <v>3</v>
      </c>
    </row>
    <row r="13" spans="1:6" ht="19.95" customHeight="1" thickBot="1" x14ac:dyDescent="0.3">
      <c r="A13" s="63" t="s">
        <v>330</v>
      </c>
      <c r="B13" s="48" t="s">
        <v>378</v>
      </c>
      <c r="C13" s="48" t="s">
        <v>377</v>
      </c>
      <c r="D13" s="48" t="s">
        <v>90</v>
      </c>
      <c r="E13" s="65">
        <v>680</v>
      </c>
      <c r="F13" s="64" t="s">
        <v>3</v>
      </c>
    </row>
    <row r="14" spans="1:6" ht="19.95" customHeight="1" x14ac:dyDescent="0.25"/>
    <row r="15" spans="1:6" s="49" customFormat="1" ht="19.95" customHeight="1" x14ac:dyDescent="0.25"/>
    <row r="16" spans="1:6" ht="19.95" customHeight="1" x14ac:dyDescent="0.25"/>
    <row r="17" ht="19.95" customHeight="1" x14ac:dyDescent="0.25"/>
    <row r="18" ht="19.95" customHeight="1" x14ac:dyDescent="0.25"/>
  </sheetData>
  <mergeCells count="1">
    <mergeCell ref="A1:F1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FEF1D-832C-426E-A3D9-836980A4A400}">
  <dimension ref="A1:H56"/>
  <sheetViews>
    <sheetView zoomScale="90" zoomScaleNormal="90" workbookViewId="0">
      <selection activeCell="B60" sqref="B60"/>
    </sheetView>
  </sheetViews>
  <sheetFormatPr defaultRowHeight="13.8" x14ac:dyDescent="0.25"/>
  <cols>
    <col min="1" max="1" width="89.109375" style="62" bestFit="1" customWidth="1"/>
    <col min="2" max="2" width="30.21875" style="41" bestFit="1" customWidth="1"/>
    <col min="3" max="3" width="7" style="41" customWidth="1"/>
    <col min="4" max="4" width="13.88671875" style="41" bestFit="1" customWidth="1"/>
    <col min="5" max="5" width="43.21875" style="41" bestFit="1" customWidth="1"/>
    <col min="6" max="7" width="8.88671875" style="41"/>
    <col min="8" max="8" width="36.5546875" style="41" bestFit="1" customWidth="1"/>
    <col min="9" max="16384" width="8.88671875" style="41"/>
  </cols>
  <sheetData>
    <row r="1" spans="1:8" ht="16.2" thickBot="1" x14ac:dyDescent="0.35">
      <c r="A1" s="223" t="s">
        <v>95</v>
      </c>
      <c r="B1" s="224"/>
      <c r="C1" s="224"/>
      <c r="D1" s="224"/>
      <c r="E1" s="225"/>
    </row>
    <row r="2" spans="1:8" s="16" customFormat="1" ht="18" customHeight="1" x14ac:dyDescent="0.3">
      <c r="A2" s="219" t="s">
        <v>107</v>
      </c>
      <c r="B2" s="220"/>
      <c r="C2" s="220"/>
      <c r="D2" s="220"/>
      <c r="E2" s="221"/>
      <c r="G2" s="167" t="s">
        <v>109</v>
      </c>
      <c r="H2" s="222"/>
    </row>
    <row r="3" spans="1:8" s="16" customFormat="1" ht="18" customHeight="1" thickBot="1" x14ac:dyDescent="0.35">
      <c r="A3" s="58" t="s">
        <v>110</v>
      </c>
      <c r="B3" s="50" t="s">
        <v>54</v>
      </c>
      <c r="C3" s="50" t="s">
        <v>96</v>
      </c>
      <c r="D3" s="50" t="s">
        <v>53</v>
      </c>
      <c r="E3" s="51" t="s">
        <v>100</v>
      </c>
      <c r="G3" s="57"/>
      <c r="H3" s="56" t="s">
        <v>111</v>
      </c>
    </row>
    <row r="4" spans="1:8" s="16" customFormat="1" ht="18" customHeight="1" x14ac:dyDescent="0.3">
      <c r="A4" s="60" t="s">
        <v>257</v>
      </c>
      <c r="B4" s="43" t="s">
        <v>97</v>
      </c>
      <c r="C4" s="43" t="s">
        <v>92</v>
      </c>
      <c r="D4" s="54">
        <f>139/60</f>
        <v>2.3166666666666669</v>
      </c>
      <c r="E4" s="55" t="s">
        <v>331</v>
      </c>
    </row>
    <row r="5" spans="1:8" s="16" customFormat="1" ht="18" customHeight="1" x14ac:dyDescent="0.3">
      <c r="A5" s="59" t="s">
        <v>258</v>
      </c>
      <c r="B5" s="42" t="s">
        <v>98</v>
      </c>
      <c r="C5" s="42" t="s">
        <v>92</v>
      </c>
      <c r="D5" s="52">
        <f>129/60</f>
        <v>2.15</v>
      </c>
      <c r="E5" s="53" t="s">
        <v>332</v>
      </c>
    </row>
    <row r="6" spans="1:8" s="16" customFormat="1" ht="18" customHeight="1" thickBot="1" x14ac:dyDescent="0.35">
      <c r="A6" s="61" t="s">
        <v>259</v>
      </c>
      <c r="B6" s="48" t="s">
        <v>260</v>
      </c>
      <c r="C6" s="48" t="s">
        <v>92</v>
      </c>
      <c r="D6" s="142">
        <f>39.9/12</f>
        <v>3.3249999999999997</v>
      </c>
      <c r="E6" s="56" t="s">
        <v>333</v>
      </c>
    </row>
    <row r="7" spans="1:8" s="16" customFormat="1" ht="18" customHeight="1" x14ac:dyDescent="0.3">
      <c r="A7" s="219" t="s">
        <v>108</v>
      </c>
      <c r="B7" s="220"/>
      <c r="C7" s="220"/>
      <c r="D7" s="220"/>
      <c r="E7" s="221"/>
    </row>
    <row r="8" spans="1:8" s="16" customFormat="1" ht="18" customHeight="1" x14ac:dyDescent="0.3">
      <c r="A8" s="58" t="s">
        <v>110</v>
      </c>
      <c r="B8" s="50" t="s">
        <v>54</v>
      </c>
      <c r="C8" s="50" t="s">
        <v>96</v>
      </c>
      <c r="D8" s="50" t="s">
        <v>53</v>
      </c>
      <c r="E8" s="51" t="s">
        <v>100</v>
      </c>
    </row>
    <row r="9" spans="1:8" s="16" customFormat="1" ht="18" customHeight="1" x14ac:dyDescent="0.3">
      <c r="A9" s="59" t="s">
        <v>261</v>
      </c>
      <c r="B9" s="42" t="s">
        <v>101</v>
      </c>
      <c r="C9" s="42" t="s">
        <v>96</v>
      </c>
      <c r="D9" s="52">
        <v>310</v>
      </c>
      <c r="E9" s="53" t="s">
        <v>334</v>
      </c>
    </row>
    <row r="10" spans="1:8" s="16" customFormat="1" ht="18" customHeight="1" x14ac:dyDescent="0.3">
      <c r="A10" s="60" t="s">
        <v>94</v>
      </c>
      <c r="B10" s="45" t="s">
        <v>102</v>
      </c>
      <c r="C10" s="43" t="s">
        <v>96</v>
      </c>
      <c r="D10" s="66">
        <v>330</v>
      </c>
      <c r="E10" s="55" t="s">
        <v>335</v>
      </c>
    </row>
    <row r="11" spans="1:8" s="16" customFormat="1" ht="18" customHeight="1" thickBot="1" x14ac:dyDescent="0.35">
      <c r="A11" s="61" t="s">
        <v>103</v>
      </c>
      <c r="B11" s="48" t="s">
        <v>99</v>
      </c>
      <c r="C11" s="48" t="s">
        <v>96</v>
      </c>
      <c r="D11" s="142">
        <v>250</v>
      </c>
      <c r="E11" s="56" t="s">
        <v>336</v>
      </c>
    </row>
    <row r="12" spans="1:8" s="16" customFormat="1" ht="18" customHeight="1" x14ac:dyDescent="0.3">
      <c r="A12" s="219" t="s">
        <v>290</v>
      </c>
      <c r="B12" s="220"/>
      <c r="C12" s="220"/>
      <c r="D12" s="220"/>
      <c r="E12" s="221"/>
    </row>
    <row r="13" spans="1:8" s="16" customFormat="1" ht="18" customHeight="1" x14ac:dyDescent="0.3">
      <c r="A13" s="58" t="s">
        <v>110</v>
      </c>
      <c r="B13" s="50" t="s">
        <v>54</v>
      </c>
      <c r="C13" s="50" t="s">
        <v>96</v>
      </c>
      <c r="D13" s="50" t="s">
        <v>53</v>
      </c>
      <c r="E13" s="51" t="s">
        <v>100</v>
      </c>
    </row>
    <row r="14" spans="1:8" s="16" customFormat="1" ht="18" customHeight="1" x14ac:dyDescent="0.3">
      <c r="A14" s="60" t="s">
        <v>366</v>
      </c>
      <c r="B14" s="43" t="s">
        <v>364</v>
      </c>
      <c r="C14" s="43" t="s">
        <v>96</v>
      </c>
      <c r="D14" s="66">
        <v>590</v>
      </c>
      <c r="E14" s="55" t="s">
        <v>370</v>
      </c>
    </row>
    <row r="15" spans="1:8" s="16" customFormat="1" ht="18" customHeight="1" x14ac:dyDescent="0.3">
      <c r="A15" s="59" t="s">
        <v>367</v>
      </c>
      <c r="B15" s="155" t="s">
        <v>365</v>
      </c>
      <c r="C15" s="42" t="s">
        <v>96</v>
      </c>
      <c r="D15" s="52">
        <v>450</v>
      </c>
      <c r="E15" s="53" t="s">
        <v>371</v>
      </c>
    </row>
    <row r="16" spans="1:8" s="16" customFormat="1" ht="18" customHeight="1" thickBot="1" x14ac:dyDescent="0.35">
      <c r="A16" s="61" t="s">
        <v>368</v>
      </c>
      <c r="B16" s="48" t="s">
        <v>369</v>
      </c>
      <c r="C16" s="48" t="s">
        <v>96</v>
      </c>
      <c r="D16" s="142">
        <v>550</v>
      </c>
      <c r="E16" s="56" t="s">
        <v>372</v>
      </c>
    </row>
    <row r="17" spans="1:5" s="16" customFormat="1" ht="18" customHeight="1" x14ac:dyDescent="0.3">
      <c r="A17" s="219" t="s">
        <v>291</v>
      </c>
      <c r="B17" s="220"/>
      <c r="C17" s="220"/>
      <c r="D17" s="220"/>
      <c r="E17" s="221"/>
    </row>
    <row r="18" spans="1:5" s="16" customFormat="1" ht="18" customHeight="1" x14ac:dyDescent="0.3">
      <c r="A18" s="58" t="s">
        <v>110</v>
      </c>
      <c r="B18" s="50" t="s">
        <v>54</v>
      </c>
      <c r="C18" s="50" t="s">
        <v>96</v>
      </c>
      <c r="D18" s="50" t="s">
        <v>53</v>
      </c>
      <c r="E18" s="51" t="s">
        <v>100</v>
      </c>
    </row>
    <row r="19" spans="1:5" s="16" customFormat="1" ht="18" customHeight="1" x14ac:dyDescent="0.3">
      <c r="A19" s="60" t="s">
        <v>391</v>
      </c>
      <c r="B19" s="43" t="s">
        <v>390</v>
      </c>
      <c r="C19" s="43" t="s">
        <v>96</v>
      </c>
      <c r="D19" s="66">
        <v>460</v>
      </c>
      <c r="E19" s="55" t="s">
        <v>387</v>
      </c>
    </row>
    <row r="20" spans="1:5" s="16" customFormat="1" ht="18" customHeight="1" x14ac:dyDescent="0.3">
      <c r="A20" s="60" t="s">
        <v>383</v>
      </c>
      <c r="B20" s="45" t="s">
        <v>384</v>
      </c>
      <c r="C20" s="43" t="s">
        <v>96</v>
      </c>
      <c r="D20" s="66">
        <v>500</v>
      </c>
      <c r="E20" s="55" t="s">
        <v>388</v>
      </c>
    </row>
    <row r="21" spans="1:5" s="16" customFormat="1" ht="18" customHeight="1" thickBot="1" x14ac:dyDescent="0.35">
      <c r="A21" s="148" t="s">
        <v>385</v>
      </c>
      <c r="B21" s="149" t="s">
        <v>386</v>
      </c>
      <c r="C21" s="149" t="s">
        <v>96</v>
      </c>
      <c r="D21" s="150">
        <v>310</v>
      </c>
      <c r="E21" s="151" t="s">
        <v>389</v>
      </c>
    </row>
    <row r="22" spans="1:5" s="16" customFormat="1" ht="18" customHeight="1" x14ac:dyDescent="0.3">
      <c r="A22" s="219" t="s">
        <v>293</v>
      </c>
      <c r="B22" s="220"/>
      <c r="C22" s="220"/>
      <c r="D22" s="220"/>
      <c r="E22" s="221"/>
    </row>
    <row r="23" spans="1:5" s="16" customFormat="1" ht="18" customHeight="1" x14ac:dyDescent="0.3">
      <c r="A23" s="58" t="s">
        <v>110</v>
      </c>
      <c r="B23" s="50" t="s">
        <v>54</v>
      </c>
      <c r="C23" s="50" t="s">
        <v>96</v>
      </c>
      <c r="D23" s="50" t="s">
        <v>53</v>
      </c>
      <c r="E23" s="51" t="s">
        <v>100</v>
      </c>
    </row>
    <row r="24" spans="1:5" s="16" customFormat="1" ht="18" customHeight="1" x14ac:dyDescent="0.3">
      <c r="A24" s="60" t="s">
        <v>305</v>
      </c>
      <c r="B24" s="43" t="s">
        <v>303</v>
      </c>
      <c r="C24" s="43" t="s">
        <v>96</v>
      </c>
      <c r="D24" s="66">
        <v>59.9</v>
      </c>
      <c r="E24" s="55" t="s">
        <v>337</v>
      </c>
    </row>
    <row r="25" spans="1:5" s="16" customFormat="1" ht="18" customHeight="1" x14ac:dyDescent="0.3">
      <c r="A25" s="60" t="s">
        <v>307</v>
      </c>
      <c r="B25" s="45" t="s">
        <v>304</v>
      </c>
      <c r="C25" s="43" t="s">
        <v>96</v>
      </c>
      <c r="D25" s="66">
        <v>52.5</v>
      </c>
      <c r="E25" s="55" t="s">
        <v>342</v>
      </c>
    </row>
    <row r="26" spans="1:5" s="16" customFormat="1" ht="18" customHeight="1" thickBot="1" x14ac:dyDescent="0.35">
      <c r="A26" s="148" t="s">
        <v>309</v>
      </c>
      <c r="B26" s="149" t="s">
        <v>301</v>
      </c>
      <c r="C26" s="149" t="s">
        <v>96</v>
      </c>
      <c r="D26" s="150">
        <v>30.07</v>
      </c>
      <c r="E26" s="151" t="s">
        <v>338</v>
      </c>
    </row>
    <row r="27" spans="1:5" s="16" customFormat="1" ht="18" customHeight="1" x14ac:dyDescent="0.3">
      <c r="A27" s="219" t="s">
        <v>292</v>
      </c>
      <c r="B27" s="220"/>
      <c r="C27" s="220"/>
      <c r="D27" s="220"/>
      <c r="E27" s="221"/>
    </row>
    <row r="28" spans="1:5" s="16" customFormat="1" ht="18" customHeight="1" x14ac:dyDescent="0.3">
      <c r="A28" s="58" t="s">
        <v>110</v>
      </c>
      <c r="B28" s="50" t="s">
        <v>54</v>
      </c>
      <c r="C28" s="50" t="s">
        <v>96</v>
      </c>
      <c r="D28" s="50" t="s">
        <v>53</v>
      </c>
      <c r="E28" s="51" t="s">
        <v>100</v>
      </c>
    </row>
    <row r="29" spans="1:5" s="16" customFormat="1" ht="18" customHeight="1" x14ac:dyDescent="0.3">
      <c r="A29" s="60" t="s">
        <v>306</v>
      </c>
      <c r="B29" s="43" t="s">
        <v>303</v>
      </c>
      <c r="C29" s="43" t="s">
        <v>96</v>
      </c>
      <c r="D29" s="66">
        <v>6.9</v>
      </c>
      <c r="E29" s="55" t="s">
        <v>337</v>
      </c>
    </row>
    <row r="30" spans="1:5" s="16" customFormat="1" ht="18" customHeight="1" x14ac:dyDescent="0.3">
      <c r="A30" s="60" t="s">
        <v>308</v>
      </c>
      <c r="B30" s="45" t="s">
        <v>304</v>
      </c>
      <c r="C30" s="43" t="s">
        <v>96</v>
      </c>
      <c r="D30" s="66">
        <v>2.2799999999999998</v>
      </c>
      <c r="E30" s="55" t="s">
        <v>342</v>
      </c>
    </row>
    <row r="31" spans="1:5" s="16" customFormat="1" ht="18" customHeight="1" thickBot="1" x14ac:dyDescent="0.35">
      <c r="A31" s="148" t="s">
        <v>286</v>
      </c>
      <c r="B31" s="149" t="s">
        <v>301</v>
      </c>
      <c r="C31" s="149" t="s">
        <v>96</v>
      </c>
      <c r="D31" s="150">
        <v>2.2400000000000002</v>
      </c>
      <c r="E31" s="151" t="s">
        <v>338</v>
      </c>
    </row>
    <row r="32" spans="1:5" s="16" customFormat="1" ht="18" customHeight="1" x14ac:dyDescent="0.3">
      <c r="A32" s="219" t="s">
        <v>294</v>
      </c>
      <c r="B32" s="220"/>
      <c r="C32" s="220"/>
      <c r="D32" s="220"/>
      <c r="E32" s="221"/>
    </row>
    <row r="33" spans="1:5" s="16" customFormat="1" ht="18" customHeight="1" x14ac:dyDescent="0.3">
      <c r="A33" s="58" t="s">
        <v>110</v>
      </c>
      <c r="B33" s="50" t="s">
        <v>54</v>
      </c>
      <c r="C33" s="50" t="s">
        <v>96</v>
      </c>
      <c r="D33" s="50" t="s">
        <v>53</v>
      </c>
      <c r="E33" s="51" t="s">
        <v>100</v>
      </c>
    </row>
    <row r="34" spans="1:5" s="16" customFormat="1" ht="18" customHeight="1" x14ac:dyDescent="0.3">
      <c r="A34" s="59" t="s">
        <v>311</v>
      </c>
      <c r="B34" s="42" t="s">
        <v>304</v>
      </c>
      <c r="C34" s="42" t="s">
        <v>96</v>
      </c>
      <c r="D34" s="52">
        <v>3.65</v>
      </c>
      <c r="E34" s="53" t="s">
        <v>342</v>
      </c>
    </row>
    <row r="35" spans="1:5" s="16" customFormat="1" ht="18" customHeight="1" x14ac:dyDescent="0.3">
      <c r="A35" s="60" t="s">
        <v>313</v>
      </c>
      <c r="B35" s="45" t="s">
        <v>301</v>
      </c>
      <c r="C35" s="43" t="s">
        <v>96</v>
      </c>
      <c r="D35" s="66">
        <v>5.48</v>
      </c>
      <c r="E35" s="55" t="s">
        <v>302</v>
      </c>
    </row>
    <row r="36" spans="1:5" ht="18" customHeight="1" thickBot="1" x14ac:dyDescent="0.3">
      <c r="A36" s="61" t="s">
        <v>379</v>
      </c>
      <c r="B36" s="48" t="s">
        <v>380</v>
      </c>
      <c r="C36" s="48" t="s">
        <v>96</v>
      </c>
      <c r="D36" s="142">
        <v>6.25</v>
      </c>
      <c r="E36" s="56" t="s">
        <v>381</v>
      </c>
    </row>
    <row r="37" spans="1:5" ht="18" customHeight="1" x14ac:dyDescent="0.25">
      <c r="A37" s="219" t="s">
        <v>295</v>
      </c>
      <c r="B37" s="220"/>
      <c r="C37" s="220"/>
      <c r="D37" s="220"/>
      <c r="E37" s="221"/>
    </row>
    <row r="38" spans="1:5" ht="18" customHeight="1" x14ac:dyDescent="0.25">
      <c r="A38" s="58" t="s">
        <v>110</v>
      </c>
      <c r="B38" s="50" t="s">
        <v>54</v>
      </c>
      <c r="C38" s="50" t="s">
        <v>96</v>
      </c>
      <c r="D38" s="50" t="s">
        <v>53</v>
      </c>
      <c r="E38" s="51" t="s">
        <v>100</v>
      </c>
    </row>
    <row r="39" spans="1:5" ht="18" customHeight="1" x14ac:dyDescent="0.25">
      <c r="A39" s="59" t="s">
        <v>310</v>
      </c>
      <c r="B39" s="42" t="s">
        <v>304</v>
      </c>
      <c r="C39" s="42" t="s">
        <v>96</v>
      </c>
      <c r="D39" s="52">
        <v>4.8499999999999996</v>
      </c>
      <c r="E39" s="53" t="s">
        <v>342</v>
      </c>
    </row>
    <row r="40" spans="1:5" ht="18" customHeight="1" x14ac:dyDescent="0.25">
      <c r="A40" s="60" t="s">
        <v>312</v>
      </c>
      <c r="B40" s="45" t="s">
        <v>301</v>
      </c>
      <c r="C40" s="43" t="s">
        <v>96</v>
      </c>
      <c r="D40" s="66">
        <v>7.47</v>
      </c>
      <c r="E40" s="55" t="s">
        <v>302</v>
      </c>
    </row>
    <row r="41" spans="1:5" ht="18" customHeight="1" thickBot="1" x14ac:dyDescent="0.3">
      <c r="A41" s="61" t="s">
        <v>382</v>
      </c>
      <c r="B41" s="48" t="s">
        <v>380</v>
      </c>
      <c r="C41" s="48" t="s">
        <v>96</v>
      </c>
      <c r="D41" s="142">
        <v>7.66</v>
      </c>
      <c r="E41" s="56" t="s">
        <v>381</v>
      </c>
    </row>
    <row r="42" spans="1:5" ht="18" customHeight="1" x14ac:dyDescent="0.25">
      <c r="A42" s="219" t="s">
        <v>296</v>
      </c>
      <c r="B42" s="220"/>
      <c r="C42" s="220"/>
      <c r="D42" s="220"/>
      <c r="E42" s="221"/>
    </row>
    <row r="43" spans="1:5" ht="18" customHeight="1" x14ac:dyDescent="0.25">
      <c r="A43" s="58" t="s">
        <v>110</v>
      </c>
      <c r="B43" s="50" t="s">
        <v>54</v>
      </c>
      <c r="C43" s="50" t="s">
        <v>96</v>
      </c>
      <c r="D43" s="50" t="s">
        <v>53</v>
      </c>
      <c r="E43" s="51" t="s">
        <v>100</v>
      </c>
    </row>
    <row r="44" spans="1:5" ht="18" customHeight="1" x14ac:dyDescent="0.25">
      <c r="A44" s="59" t="s">
        <v>315</v>
      </c>
      <c r="B44" s="42" t="s">
        <v>316</v>
      </c>
      <c r="C44" s="42" t="s">
        <v>96</v>
      </c>
      <c r="D44" s="52">
        <v>1312.5</v>
      </c>
      <c r="E44" s="53" t="s">
        <v>339</v>
      </c>
    </row>
    <row r="45" spans="1:5" ht="18" customHeight="1" x14ac:dyDescent="0.25">
      <c r="A45" s="60" t="s">
        <v>318</v>
      </c>
      <c r="B45" s="45" t="s">
        <v>319</v>
      </c>
      <c r="C45" s="43" t="s">
        <v>96</v>
      </c>
      <c r="D45" s="66">
        <v>1540</v>
      </c>
      <c r="E45" s="55" t="s">
        <v>340</v>
      </c>
    </row>
    <row r="46" spans="1:5" ht="18" customHeight="1" thickBot="1" x14ac:dyDescent="0.3">
      <c r="A46" s="61" t="s">
        <v>321</v>
      </c>
      <c r="B46" s="48" t="s">
        <v>322</v>
      </c>
      <c r="C46" s="48" t="s">
        <v>96</v>
      </c>
      <c r="D46" s="142">
        <v>1890</v>
      </c>
      <c r="E46" s="56" t="s">
        <v>341</v>
      </c>
    </row>
    <row r="47" spans="1:5" ht="18" customHeight="1" x14ac:dyDescent="0.25">
      <c r="A47" s="219" t="s">
        <v>297</v>
      </c>
      <c r="B47" s="220"/>
      <c r="C47" s="220"/>
      <c r="D47" s="220"/>
      <c r="E47" s="221"/>
    </row>
    <row r="48" spans="1:5" ht="18" customHeight="1" x14ac:dyDescent="0.25">
      <c r="A48" s="58" t="s">
        <v>110</v>
      </c>
      <c r="B48" s="50" t="s">
        <v>54</v>
      </c>
      <c r="C48" s="50" t="s">
        <v>96</v>
      </c>
      <c r="D48" s="50" t="s">
        <v>53</v>
      </c>
      <c r="E48" s="51" t="s">
        <v>100</v>
      </c>
    </row>
    <row r="49" spans="1:5" ht="18" customHeight="1" x14ac:dyDescent="0.25">
      <c r="A49" s="59" t="s">
        <v>317</v>
      </c>
      <c r="B49" s="42" t="s">
        <v>316</v>
      </c>
      <c r="C49" s="42" t="s">
        <v>96</v>
      </c>
      <c r="D49" s="52">
        <v>2250</v>
      </c>
      <c r="E49" s="53" t="s">
        <v>339</v>
      </c>
    </row>
    <row r="50" spans="1:5" ht="18" customHeight="1" x14ac:dyDescent="0.25">
      <c r="A50" s="60" t="s">
        <v>320</v>
      </c>
      <c r="B50" s="45" t="s">
        <v>319</v>
      </c>
      <c r="C50" s="43" t="s">
        <v>96</v>
      </c>
      <c r="D50" s="66">
        <v>2640</v>
      </c>
      <c r="E50" s="55" t="s">
        <v>340</v>
      </c>
    </row>
    <row r="51" spans="1:5" ht="18" customHeight="1" thickBot="1" x14ac:dyDescent="0.3">
      <c r="A51" s="61" t="s">
        <v>323</v>
      </c>
      <c r="B51" s="48" t="s">
        <v>322</v>
      </c>
      <c r="C51" s="48" t="s">
        <v>96</v>
      </c>
      <c r="D51" s="142">
        <v>3240</v>
      </c>
      <c r="E51" s="56" t="s">
        <v>341</v>
      </c>
    </row>
    <row r="52" spans="1:5" ht="18" customHeight="1" x14ac:dyDescent="0.25">
      <c r="A52" s="219" t="s">
        <v>314</v>
      </c>
      <c r="B52" s="220"/>
      <c r="C52" s="220"/>
      <c r="D52" s="220"/>
      <c r="E52" s="221"/>
    </row>
    <row r="53" spans="1:5" ht="18" customHeight="1" x14ac:dyDescent="0.25">
      <c r="A53" s="58" t="s">
        <v>110</v>
      </c>
      <c r="B53" s="50" t="s">
        <v>54</v>
      </c>
      <c r="C53" s="50" t="s">
        <v>96</v>
      </c>
      <c r="D53" s="50" t="s">
        <v>53</v>
      </c>
      <c r="E53" s="51" t="s">
        <v>100</v>
      </c>
    </row>
    <row r="54" spans="1:5" ht="18" customHeight="1" x14ac:dyDescent="0.25">
      <c r="A54" s="60" t="s">
        <v>373</v>
      </c>
      <c r="B54" s="43" t="s">
        <v>374</v>
      </c>
      <c r="C54" s="43" t="s">
        <v>96</v>
      </c>
      <c r="D54" s="66">
        <v>917.46</v>
      </c>
      <c r="E54" s="55" t="s">
        <v>375</v>
      </c>
    </row>
    <row r="55" spans="1:5" ht="18" customHeight="1" x14ac:dyDescent="0.25">
      <c r="A55" s="59" t="s">
        <v>377</v>
      </c>
      <c r="B55" s="155" t="s">
        <v>378</v>
      </c>
      <c r="C55" s="42" t="s">
        <v>96</v>
      </c>
      <c r="D55" s="52">
        <v>680</v>
      </c>
      <c r="E55" s="53" t="s">
        <v>376</v>
      </c>
    </row>
    <row r="56" spans="1:5" ht="18" customHeight="1" thickBot="1" x14ac:dyDescent="0.3">
      <c r="A56" s="61" t="s">
        <v>392</v>
      </c>
      <c r="B56" s="48" t="s">
        <v>322</v>
      </c>
      <c r="C56" s="48" t="s">
        <v>96</v>
      </c>
      <c r="D56" s="142">
        <v>720</v>
      </c>
      <c r="E56" s="56" t="s">
        <v>393</v>
      </c>
    </row>
  </sheetData>
  <mergeCells count="13">
    <mergeCell ref="G2:H2"/>
    <mergeCell ref="A2:E2"/>
    <mergeCell ref="A1:E1"/>
    <mergeCell ref="A7:E7"/>
    <mergeCell ref="A12:E12"/>
    <mergeCell ref="A42:E42"/>
    <mergeCell ref="A47:E47"/>
    <mergeCell ref="A52:E52"/>
    <mergeCell ref="A17:E17"/>
    <mergeCell ref="A22:E22"/>
    <mergeCell ref="A27:E27"/>
    <mergeCell ref="A32:E32"/>
    <mergeCell ref="A37:E3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PLANILHA ORÇAMENTÁRIA</vt:lpstr>
      <vt:lpstr>CRONOGRAMA</vt:lpstr>
      <vt:lpstr>CÁLCULO BDI</vt:lpstr>
      <vt:lpstr>ESTRUTURA ORÇ. COMPLEMENTAR</vt:lpstr>
      <vt:lpstr>COTAÇÕES P. ORÇ COMPLEMENTAR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klemba</dc:creator>
  <cp:lastModifiedBy>Jean O. Gonçalves</cp:lastModifiedBy>
  <cp:lastPrinted>2021-11-15T19:18:38Z</cp:lastPrinted>
  <dcterms:created xsi:type="dcterms:W3CDTF">2021-09-10T13:30:47Z</dcterms:created>
  <dcterms:modified xsi:type="dcterms:W3CDTF">2022-10-15T01:14:46Z</dcterms:modified>
</cp:coreProperties>
</file>